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updateLinks="never" codeName="ThisWorkbook" defaultThemeVersion="166925"/>
  <mc:AlternateContent xmlns:mc="http://schemas.openxmlformats.org/markup-compatibility/2006">
    <mc:Choice Requires="x15">
      <x15ac:absPath xmlns:x15ac="http://schemas.microsoft.com/office/spreadsheetml/2010/11/ac" url="/Users/troyshaheen/Downloads/"/>
    </mc:Choice>
  </mc:AlternateContent>
  <xr:revisionPtr revIDLastSave="0" documentId="8_{FA776DFF-3E72-FE47-9362-D0D677235772}" xr6:coauthVersionLast="47" xr6:coauthVersionMax="47" xr10:uidLastSave="{00000000-0000-0000-0000-000000000000}"/>
  <bookViews>
    <workbookView xWindow="0" yWindow="500" windowWidth="26780" windowHeight="14560" xr2:uid="{F867147A-4720-834F-BB97-C5BE3C6C6597}"/>
  </bookViews>
  <sheets>
    <sheet name="NG Parameters" sheetId="1" r:id="rId1"/>
    <sheet name="NG C1" sheetId="2" r:id="rId2"/>
    <sheet name="NG C2" sheetId="42" r:id="rId3"/>
    <sheet name="NG C3" sheetId="51" r:id="rId4"/>
    <sheet name="NG C4" sheetId="36" r:id="rId5"/>
    <sheet name="NG C5" sheetId="49" r:id="rId6"/>
    <sheet name="NG C6" sheetId="37" r:id="rId7"/>
    <sheet name="Coal Parameters" sheetId="15" r:id="rId8"/>
    <sheet name="Coal C1" sheetId="14" r:id="rId9"/>
    <sheet name="Coal C2" sheetId="40" r:id="rId10"/>
    <sheet name="Coal C3" sheetId="39" r:id="rId11"/>
    <sheet name="Summary" sheetId="8" r:id="rId12"/>
    <sheet name="Conversions" sheetId="16" r:id="rId13"/>
  </sheets>
  <definedNames>
    <definedName name="_xlnm._FilterDatabase" localSheetId="7" hidden="1">'Coal Parameters'!$A$1:$G$14</definedName>
    <definedName name="_xlnm._FilterDatabase" localSheetId="0" hidden="1">'NG Parameters'!$A$1:$J$41</definedName>
    <definedName name="solver_adj" localSheetId="0" hidden="1">'NG Parameters'!$B$4</definedName>
    <definedName name="solver_cvg" localSheetId="0" hidden="1">0.0001</definedName>
    <definedName name="solver_drv" localSheetId="0" hidden="1">1</definedName>
    <definedName name="solver_eng" localSheetId="0" hidden="1">1</definedName>
    <definedName name="solver_itr" localSheetId="0" hidden="1">2147483647</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opt" localSheetId="0" hidden="1">'NG Parameters'!$B$18</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3</definedName>
    <definedName name="solver_ver" localSheetId="0" hidden="1">2</definedName>
  </definedName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39" l="1"/>
  <c r="C63" i="39"/>
  <c r="E44" i="39"/>
  <c r="C44" i="39"/>
  <c r="E33" i="39"/>
  <c r="C33" i="39"/>
  <c r="E32" i="39"/>
  <c r="C32" i="39"/>
  <c r="E31" i="39"/>
  <c r="C31" i="39"/>
  <c r="E20" i="39"/>
  <c r="C20" i="39"/>
  <c r="E19" i="39"/>
  <c r="C19" i="39"/>
  <c r="E18" i="39"/>
  <c r="C18" i="39"/>
  <c r="K6" i="39"/>
  <c r="J6" i="39"/>
  <c r="I6" i="39"/>
  <c r="E6" i="39"/>
  <c r="D6" i="39"/>
  <c r="C6" i="39"/>
  <c r="K5" i="39"/>
  <c r="J5" i="39"/>
  <c r="I5" i="39"/>
  <c r="E5" i="39"/>
  <c r="D5" i="39"/>
  <c r="C5" i="39"/>
  <c r="K4" i="39"/>
  <c r="J4" i="39"/>
  <c r="I4" i="39"/>
  <c r="E4" i="39"/>
  <c r="D4" i="39"/>
  <c r="C4" i="39"/>
  <c r="E63" i="40"/>
  <c r="C63" i="40"/>
  <c r="E44" i="40"/>
  <c r="C44" i="40"/>
  <c r="E33" i="40"/>
  <c r="C33" i="40"/>
  <c r="E32" i="40"/>
  <c r="C32" i="40"/>
  <c r="E31" i="40"/>
  <c r="C31" i="40"/>
  <c r="E20" i="40"/>
  <c r="C20" i="40"/>
  <c r="E19" i="40"/>
  <c r="C19" i="40"/>
  <c r="E18" i="40"/>
  <c r="C18" i="40"/>
  <c r="K6" i="40"/>
  <c r="J6" i="40"/>
  <c r="I6" i="40"/>
  <c r="E6" i="40"/>
  <c r="D6" i="40"/>
  <c r="C6" i="40"/>
  <c r="K5" i="40"/>
  <c r="J5" i="40"/>
  <c r="I5" i="40"/>
  <c r="E5" i="40"/>
  <c r="D5" i="40"/>
  <c r="C5" i="40"/>
  <c r="K4" i="40"/>
  <c r="J4" i="40"/>
  <c r="I4" i="40"/>
  <c r="E4" i="40"/>
  <c r="D4" i="40"/>
  <c r="C4" i="40"/>
  <c r="E256" i="37"/>
  <c r="F250" i="37"/>
  <c r="F249" i="37"/>
  <c r="F244" i="37"/>
  <c r="F237" i="37"/>
  <c r="F236" i="37"/>
  <c r="E227" i="37"/>
  <c r="C227" i="37"/>
  <c r="D225" i="37"/>
  <c r="E225" i="37" s="1"/>
  <c r="D206" i="37"/>
  <c r="E201" i="37"/>
  <c r="C201" i="37"/>
  <c r="E200" i="37"/>
  <c r="C200" i="37"/>
  <c r="E199" i="37"/>
  <c r="C199" i="37"/>
  <c r="F194" i="37"/>
  <c r="F193" i="37"/>
  <c r="F188" i="37"/>
  <c r="F187" i="37"/>
  <c r="F186" i="37"/>
  <c r="F180" i="37"/>
  <c r="F179" i="37"/>
  <c r="F178" i="37"/>
  <c r="F177" i="37"/>
  <c r="F167" i="37"/>
  <c r="F166" i="37"/>
  <c r="K155" i="37"/>
  <c r="J155" i="37"/>
  <c r="I155" i="37"/>
  <c r="E155" i="37"/>
  <c r="D155" i="37"/>
  <c r="C155" i="37"/>
  <c r="I153" i="37"/>
  <c r="F153" i="37"/>
  <c r="C153" i="37"/>
  <c r="D135" i="37"/>
  <c r="C135" i="37"/>
  <c r="K116" i="37"/>
  <c r="J116" i="37"/>
  <c r="I116" i="37"/>
  <c r="E116" i="37"/>
  <c r="D116" i="37"/>
  <c r="C116" i="37"/>
  <c r="K115" i="37"/>
  <c r="J115" i="37"/>
  <c r="I115" i="37"/>
  <c r="E115" i="37"/>
  <c r="D115" i="37"/>
  <c r="C115" i="37"/>
  <c r="K114" i="37"/>
  <c r="J114" i="37"/>
  <c r="I114" i="37"/>
  <c r="E114" i="37"/>
  <c r="D114" i="37"/>
  <c r="C114" i="37"/>
  <c r="E65" i="37"/>
  <c r="C65" i="37"/>
  <c r="E64" i="37"/>
  <c r="C64" i="37"/>
  <c r="E63" i="37"/>
  <c r="C63" i="37"/>
  <c r="K6" i="37"/>
  <c r="J6" i="37"/>
  <c r="I6" i="37"/>
  <c r="E6" i="37"/>
  <c r="D6" i="37"/>
  <c r="C6" i="37"/>
  <c r="K5" i="37"/>
  <c r="J5" i="37"/>
  <c r="I5" i="37"/>
  <c r="E5" i="37"/>
  <c r="D5" i="37"/>
  <c r="C5" i="37"/>
  <c r="K4" i="37"/>
  <c r="J4" i="37"/>
  <c r="I4" i="37"/>
  <c r="E4" i="37"/>
  <c r="D4" i="37"/>
  <c r="C4" i="37"/>
  <c r="E256" i="49"/>
  <c r="F250" i="49"/>
  <c r="F249" i="49"/>
  <c r="F244" i="49"/>
  <c r="F237" i="49"/>
  <c r="F236" i="49"/>
  <c r="E227" i="49"/>
  <c r="C227" i="49"/>
  <c r="D225" i="49"/>
  <c r="E225" i="49" s="1"/>
  <c r="D206" i="49"/>
  <c r="E201" i="49"/>
  <c r="C201" i="49"/>
  <c r="E200" i="49"/>
  <c r="C200" i="49"/>
  <c r="E199" i="49"/>
  <c r="C199" i="49"/>
  <c r="F194" i="49"/>
  <c r="F193" i="49"/>
  <c r="F188" i="49"/>
  <c r="F187" i="49"/>
  <c r="F186" i="49"/>
  <c r="F180" i="49"/>
  <c r="F179" i="49"/>
  <c r="F178" i="49"/>
  <c r="F177" i="49"/>
  <c r="F167" i="49"/>
  <c r="F166" i="49"/>
  <c r="K155" i="49"/>
  <c r="J155" i="49"/>
  <c r="I155" i="49"/>
  <c r="E155" i="49"/>
  <c r="D155" i="49"/>
  <c r="C155" i="49"/>
  <c r="I153" i="49"/>
  <c r="F153" i="49"/>
  <c r="C153" i="49"/>
  <c r="D135" i="49"/>
  <c r="C135" i="49"/>
  <c r="K116" i="49"/>
  <c r="J116" i="49"/>
  <c r="I116" i="49"/>
  <c r="E116" i="49"/>
  <c r="D116" i="49"/>
  <c r="C116" i="49"/>
  <c r="K115" i="49"/>
  <c r="J115" i="49"/>
  <c r="I115" i="49"/>
  <c r="E115" i="49"/>
  <c r="D115" i="49"/>
  <c r="C115" i="49"/>
  <c r="K114" i="49"/>
  <c r="J114" i="49"/>
  <c r="I114" i="49"/>
  <c r="E114" i="49"/>
  <c r="D114" i="49"/>
  <c r="C114" i="49"/>
  <c r="E65" i="49"/>
  <c r="C65" i="49"/>
  <c r="E64" i="49"/>
  <c r="C64" i="49"/>
  <c r="E63" i="49"/>
  <c r="C63" i="49"/>
  <c r="K6" i="49"/>
  <c r="J6" i="49"/>
  <c r="I6" i="49"/>
  <c r="E6" i="49"/>
  <c r="D6" i="49"/>
  <c r="C6" i="49"/>
  <c r="K5" i="49"/>
  <c r="J5" i="49"/>
  <c r="I5" i="49"/>
  <c r="E5" i="49"/>
  <c r="D5" i="49"/>
  <c r="C5" i="49"/>
  <c r="K4" i="49"/>
  <c r="J4" i="49"/>
  <c r="I4" i="49"/>
  <c r="E4" i="49"/>
  <c r="D4" i="49"/>
  <c r="C4" i="49"/>
  <c r="E256" i="36"/>
  <c r="F250" i="36"/>
  <c r="F249" i="36"/>
  <c r="F244" i="36"/>
  <c r="F237" i="36"/>
  <c r="F236" i="36"/>
  <c r="E227" i="36"/>
  <c r="C227" i="36"/>
  <c r="E225" i="36"/>
  <c r="D225" i="36"/>
  <c r="C225" i="36"/>
  <c r="D206" i="36"/>
  <c r="E201" i="36"/>
  <c r="C201" i="36"/>
  <c r="E200" i="36"/>
  <c r="C200" i="36"/>
  <c r="E199" i="36"/>
  <c r="C199" i="36"/>
  <c r="F194" i="36"/>
  <c r="F193" i="36"/>
  <c r="F188" i="36"/>
  <c r="F187" i="36"/>
  <c r="F186" i="36"/>
  <c r="F180" i="36"/>
  <c r="F179" i="36"/>
  <c r="F178" i="36"/>
  <c r="F177" i="36"/>
  <c r="F167" i="36"/>
  <c r="F166" i="36"/>
  <c r="K155" i="36"/>
  <c r="J155" i="36"/>
  <c r="I155" i="36"/>
  <c r="E155" i="36"/>
  <c r="D155" i="36"/>
  <c r="C155" i="36"/>
  <c r="F153" i="36"/>
  <c r="I153" i="36" s="1"/>
  <c r="D135" i="36"/>
  <c r="C135" i="36"/>
  <c r="K116" i="36"/>
  <c r="J116" i="36"/>
  <c r="I116" i="36"/>
  <c r="E116" i="36"/>
  <c r="D116" i="36"/>
  <c r="C116" i="36"/>
  <c r="K115" i="36"/>
  <c r="J115" i="36"/>
  <c r="I115" i="36"/>
  <c r="E115" i="36"/>
  <c r="D115" i="36"/>
  <c r="C115" i="36"/>
  <c r="K114" i="36"/>
  <c r="J114" i="36"/>
  <c r="I114" i="36"/>
  <c r="E114" i="36"/>
  <c r="D114" i="36"/>
  <c r="C114" i="36"/>
  <c r="E65" i="36"/>
  <c r="C65" i="36"/>
  <c r="E64" i="36"/>
  <c r="C64" i="36"/>
  <c r="E63" i="36"/>
  <c r="C63" i="36"/>
  <c r="K6" i="36"/>
  <c r="J6" i="36"/>
  <c r="I6" i="36"/>
  <c r="E6" i="36"/>
  <c r="D6" i="36"/>
  <c r="C6" i="36"/>
  <c r="K5" i="36"/>
  <c r="J5" i="36"/>
  <c r="I5" i="36"/>
  <c r="E5" i="36"/>
  <c r="D5" i="36"/>
  <c r="C5" i="36"/>
  <c r="K4" i="36"/>
  <c r="J4" i="36"/>
  <c r="I4" i="36"/>
  <c r="E4" i="36"/>
  <c r="D4" i="36"/>
  <c r="C4" i="36"/>
  <c r="E256" i="51"/>
  <c r="F250" i="51"/>
  <c r="F249" i="51"/>
  <c r="F244" i="51"/>
  <c r="F237" i="51"/>
  <c r="F236" i="51"/>
  <c r="E227" i="51"/>
  <c r="C227" i="51"/>
  <c r="D225" i="51"/>
  <c r="E225" i="51" s="1"/>
  <c r="C225" i="51"/>
  <c r="D206" i="51"/>
  <c r="E201" i="51"/>
  <c r="C201" i="51"/>
  <c r="E200" i="51"/>
  <c r="C200" i="51"/>
  <c r="E199" i="51"/>
  <c r="C199" i="51"/>
  <c r="F194" i="51"/>
  <c r="F193" i="51"/>
  <c r="F188" i="51"/>
  <c r="F187" i="51"/>
  <c r="F186" i="51"/>
  <c r="F180" i="51"/>
  <c r="F179" i="51"/>
  <c r="F178" i="51"/>
  <c r="F177" i="51"/>
  <c r="F167" i="51"/>
  <c r="F166" i="51"/>
  <c r="K155" i="51"/>
  <c r="J155" i="51"/>
  <c r="I155" i="51"/>
  <c r="E155" i="51"/>
  <c r="D155" i="51"/>
  <c r="C155" i="51"/>
  <c r="I153" i="51"/>
  <c r="F153" i="51"/>
  <c r="C153" i="51"/>
  <c r="D135" i="51"/>
  <c r="C135" i="51"/>
  <c r="K116" i="51"/>
  <c r="J116" i="51"/>
  <c r="I116" i="51"/>
  <c r="E116" i="51"/>
  <c r="D116" i="51"/>
  <c r="C116" i="51"/>
  <c r="K115" i="51"/>
  <c r="J115" i="51"/>
  <c r="I115" i="51"/>
  <c r="E115" i="51"/>
  <c r="D115" i="51"/>
  <c r="C115" i="51"/>
  <c r="K114" i="51"/>
  <c r="J114" i="51"/>
  <c r="I114" i="51"/>
  <c r="E114" i="51"/>
  <c r="D114" i="51"/>
  <c r="C114" i="51"/>
  <c r="E65" i="51"/>
  <c r="C65" i="51"/>
  <c r="E64" i="51"/>
  <c r="C64" i="51"/>
  <c r="E63" i="51"/>
  <c r="C63" i="51"/>
  <c r="K6" i="51"/>
  <c r="J6" i="51"/>
  <c r="I6" i="51"/>
  <c r="E6" i="51"/>
  <c r="D6" i="51"/>
  <c r="C6" i="51"/>
  <c r="K5" i="51"/>
  <c r="J5" i="51"/>
  <c r="I5" i="51"/>
  <c r="E5" i="51"/>
  <c r="D5" i="51"/>
  <c r="C5" i="51"/>
  <c r="K4" i="51"/>
  <c r="J4" i="51"/>
  <c r="I4" i="51"/>
  <c r="E4" i="51"/>
  <c r="D4" i="51"/>
  <c r="C4" i="51"/>
  <c r="E256" i="42"/>
  <c r="F250" i="42"/>
  <c r="F249" i="42"/>
  <c r="F244" i="42"/>
  <c r="F237" i="42"/>
  <c r="F236" i="42"/>
  <c r="E227" i="42"/>
  <c r="C227" i="42"/>
  <c r="D225" i="42"/>
  <c r="E225" i="42" s="1"/>
  <c r="C225" i="42"/>
  <c r="D206" i="42"/>
  <c r="E201" i="42"/>
  <c r="C201" i="42"/>
  <c r="E200" i="42"/>
  <c r="C200" i="42"/>
  <c r="E199" i="42"/>
  <c r="C199" i="42"/>
  <c r="F194" i="42"/>
  <c r="F193" i="42"/>
  <c r="F188" i="42"/>
  <c r="F187" i="42"/>
  <c r="F186" i="42"/>
  <c r="F180" i="42"/>
  <c r="F179" i="42"/>
  <c r="F178" i="42"/>
  <c r="F177" i="42"/>
  <c r="F167" i="42"/>
  <c r="F166" i="42"/>
  <c r="K155" i="42"/>
  <c r="J155" i="42"/>
  <c r="I155" i="42"/>
  <c r="E155" i="42"/>
  <c r="D155" i="42"/>
  <c r="C155" i="42"/>
  <c r="I153" i="42"/>
  <c r="F153" i="42"/>
  <c r="C153" i="42"/>
  <c r="D135" i="42"/>
  <c r="C135" i="42"/>
  <c r="K116" i="42"/>
  <c r="J116" i="42"/>
  <c r="I116" i="42"/>
  <c r="E116" i="42"/>
  <c r="D116" i="42"/>
  <c r="C116" i="42"/>
  <c r="K115" i="42"/>
  <c r="J115" i="42"/>
  <c r="I115" i="42"/>
  <c r="E115" i="42"/>
  <c r="D115" i="42"/>
  <c r="C115" i="42"/>
  <c r="K114" i="42"/>
  <c r="J114" i="42"/>
  <c r="I114" i="42"/>
  <c r="E114" i="42"/>
  <c r="D114" i="42"/>
  <c r="C114" i="42"/>
  <c r="E65" i="42"/>
  <c r="C65" i="42"/>
  <c r="E64" i="42"/>
  <c r="C64" i="42"/>
  <c r="E63" i="42"/>
  <c r="C63" i="42"/>
  <c r="K6" i="42"/>
  <c r="J6" i="42"/>
  <c r="I6" i="42"/>
  <c r="E6" i="42"/>
  <c r="D6" i="42"/>
  <c r="K5" i="42"/>
  <c r="J5" i="42"/>
  <c r="I5" i="42"/>
  <c r="E5" i="42"/>
  <c r="D5" i="42"/>
  <c r="C5" i="42"/>
  <c r="K4" i="42"/>
  <c r="J4" i="42"/>
  <c r="I4" i="42"/>
  <c r="E4" i="42"/>
  <c r="D4" i="42"/>
  <c r="C6" i="42"/>
  <c r="C4" i="42"/>
  <c r="C256" i="37"/>
  <c r="C256" i="49"/>
  <c r="C256" i="36"/>
  <c r="C256" i="51"/>
  <c r="C256" i="42"/>
  <c r="G28" i="1"/>
  <c r="F28" i="1"/>
  <c r="E28" i="1"/>
  <c r="B4" i="1"/>
  <c r="B10" i="1"/>
  <c r="F17" i="37"/>
  <c r="F17" i="49"/>
  <c r="D20" i="37"/>
  <c r="D21" i="37"/>
  <c r="D21" i="49"/>
  <c r="D20" i="49"/>
  <c r="D21" i="36"/>
  <c r="D20" i="36"/>
  <c r="I22" i="37"/>
  <c r="H22" i="37"/>
  <c r="G22" i="37"/>
  <c r="I22" i="49"/>
  <c r="H22" i="49"/>
  <c r="G22" i="49"/>
  <c r="I22" i="36"/>
  <c r="H22" i="36"/>
  <c r="G22" i="36"/>
  <c r="C225" i="37" l="1"/>
  <c r="C225" i="49"/>
  <c r="C153" i="36"/>
  <c r="D21" i="51"/>
  <c r="D20" i="51"/>
  <c r="D21" i="42"/>
  <c r="D20" i="42"/>
  <c r="I22" i="51"/>
  <c r="H22" i="51"/>
  <c r="G22" i="51"/>
  <c r="I22" i="42"/>
  <c r="H22" i="42"/>
  <c r="G22" i="42"/>
  <c r="D21" i="2"/>
  <c r="D20" i="2"/>
  <c r="H22" i="2"/>
  <c r="I22" i="2"/>
  <c r="G22" i="2"/>
  <c r="E42" i="1"/>
  <c r="C261" i="36"/>
  <c r="H29" i="36"/>
  <c r="J27" i="36"/>
  <c r="J29" i="36" s="1"/>
  <c r="J30" i="36" s="1"/>
  <c r="J31" i="36" s="1"/>
  <c r="I27" i="36"/>
  <c r="I29" i="36" s="1"/>
  <c r="I30" i="36" s="1"/>
  <c r="I31" i="36" s="1"/>
  <c r="C213" i="42"/>
  <c r="S88" i="49"/>
  <c r="P95" i="37"/>
  <c r="P94" i="37"/>
  <c r="P95" i="49"/>
  <c r="P94" i="49"/>
  <c r="P95" i="36"/>
  <c r="P94" i="36"/>
  <c r="P95" i="51"/>
  <c r="P94" i="51"/>
  <c r="P95" i="42"/>
  <c r="P94" i="42"/>
  <c r="L94" i="37"/>
  <c r="L94" i="49"/>
  <c r="L94" i="36"/>
  <c r="L94" i="51"/>
  <c r="L94" i="42"/>
  <c r="K106" i="2"/>
  <c r="K109" i="2" s="1"/>
  <c r="L30" i="37"/>
  <c r="L31" i="37" s="1"/>
  <c r="J27" i="37" s="1"/>
  <c r="L29" i="37"/>
  <c r="L29" i="49"/>
  <c r="L30" i="49" s="1"/>
  <c r="L31" i="49" s="1"/>
  <c r="I29" i="42"/>
  <c r="J27" i="49" l="1"/>
  <c r="E25" i="2"/>
  <c r="C4" i="15"/>
  <c r="S86" i="37"/>
  <c r="S80" i="37"/>
  <c r="S83" i="37" s="1"/>
  <c r="S88" i="37" s="1"/>
  <c r="G7" i="1" s="1"/>
  <c r="S86" i="49"/>
  <c r="S80" i="49"/>
  <c r="S83" i="49" s="1"/>
  <c r="F7" i="1" l="1"/>
  <c r="I29" i="51"/>
  <c r="K27" i="51"/>
  <c r="K29" i="51" s="1"/>
  <c r="J27" i="51"/>
  <c r="J29" i="51" s="1"/>
  <c r="K27" i="42"/>
  <c r="K29" i="42" s="1"/>
  <c r="K30" i="42" s="1"/>
  <c r="K31" i="42" s="1"/>
  <c r="J27" i="42"/>
  <c r="J29" i="42" s="1"/>
  <c r="J30" i="42" s="1"/>
  <c r="J31" i="42" s="1"/>
  <c r="K106" i="37"/>
  <c r="K109" i="37" s="1"/>
  <c r="K85" i="37" s="1"/>
  <c r="K106" i="49"/>
  <c r="K106" i="36"/>
  <c r="K109" i="36" s="1"/>
  <c r="K85" i="36" s="1"/>
  <c r="K106" i="51"/>
  <c r="K109" i="51" s="1"/>
  <c r="K85" i="51" s="1"/>
  <c r="K106" i="42"/>
  <c r="K85" i="2"/>
  <c r="C80" i="37"/>
  <c r="C81" i="37" s="1"/>
  <c r="C80" i="49"/>
  <c r="C81" i="49" s="1"/>
  <c r="O80" i="49" s="1"/>
  <c r="P97" i="49" s="1"/>
  <c r="C80" i="36"/>
  <c r="C81" i="36" s="1"/>
  <c r="C80" i="51"/>
  <c r="C81" i="51" s="1"/>
  <c r="C80" i="42"/>
  <c r="E103" i="37"/>
  <c r="E102" i="37"/>
  <c r="E93" i="37"/>
  <c r="E103" i="49"/>
  <c r="E102" i="49"/>
  <c r="E93" i="49"/>
  <c r="E103" i="36"/>
  <c r="E102" i="36"/>
  <c r="E93" i="36"/>
  <c r="E103" i="51"/>
  <c r="E102" i="51"/>
  <c r="E93" i="51"/>
  <c r="E103" i="42"/>
  <c r="E102" i="42"/>
  <c r="E93" i="42"/>
  <c r="B8" i="15"/>
  <c r="E102" i="2"/>
  <c r="C68" i="14"/>
  <c r="C194" i="51"/>
  <c r="C193" i="51"/>
  <c r="C194" i="42"/>
  <c r="C193" i="42"/>
  <c r="C194" i="2"/>
  <c r="C193" i="2"/>
  <c r="D194" i="2"/>
  <c r="D193" i="2"/>
  <c r="C194" i="37"/>
  <c r="C193" i="37"/>
  <c r="D194" i="49"/>
  <c r="D193" i="49"/>
  <c r="C194" i="49"/>
  <c r="C193" i="49"/>
  <c r="D194" i="36"/>
  <c r="D193" i="36"/>
  <c r="C194" i="36"/>
  <c r="C193" i="36"/>
  <c r="C186" i="36"/>
  <c r="D188" i="36"/>
  <c r="D186" i="36"/>
  <c r="C250" i="2"/>
  <c r="C250" i="49"/>
  <c r="C249" i="49"/>
  <c r="C249" i="36"/>
  <c r="C250" i="36"/>
  <c r="C250" i="37"/>
  <c r="C36" i="1"/>
  <c r="D36" i="1" s="1"/>
  <c r="C250" i="51" s="1"/>
  <c r="O94" i="37" l="1"/>
  <c r="K93" i="37"/>
  <c r="O93" i="37"/>
  <c r="K94" i="37"/>
  <c r="K94" i="49"/>
  <c r="O93" i="49"/>
  <c r="O94" i="49"/>
  <c r="O105" i="49" s="1"/>
  <c r="K93" i="49"/>
  <c r="O93" i="51"/>
  <c r="O94" i="51"/>
  <c r="K94" i="51"/>
  <c r="K93" i="51"/>
  <c r="O94" i="42"/>
  <c r="K94" i="42"/>
  <c r="K93" i="42"/>
  <c r="O93" i="42"/>
  <c r="O93" i="36"/>
  <c r="K93" i="36"/>
  <c r="K94" i="36"/>
  <c r="O94" i="36"/>
  <c r="C95" i="37"/>
  <c r="D106" i="37" s="1"/>
  <c r="D109" i="37" s="1"/>
  <c r="C93" i="37"/>
  <c r="C94" i="37"/>
  <c r="D105" i="37" s="1"/>
  <c r="D108" i="37" s="1"/>
  <c r="D93" i="37"/>
  <c r="K109" i="49"/>
  <c r="K85" i="49" s="1"/>
  <c r="C95" i="49"/>
  <c r="D106" i="49" s="1"/>
  <c r="C94" i="49"/>
  <c r="D105" i="49" s="1"/>
  <c r="C93" i="49"/>
  <c r="D93" i="49"/>
  <c r="K80" i="36"/>
  <c r="O80" i="36"/>
  <c r="C95" i="36"/>
  <c r="D106" i="36" s="1"/>
  <c r="C94" i="36"/>
  <c r="D93" i="36"/>
  <c r="C93" i="36"/>
  <c r="J30" i="51"/>
  <c r="J31" i="51" s="1"/>
  <c r="C95" i="51"/>
  <c r="D106" i="51" s="1"/>
  <c r="C94" i="51"/>
  <c r="D105" i="51" s="1"/>
  <c r="D93" i="51"/>
  <c r="C93" i="51"/>
  <c r="C95" i="42"/>
  <c r="D106" i="42" s="1"/>
  <c r="C94" i="42"/>
  <c r="D105" i="42" s="1"/>
  <c r="D93" i="42"/>
  <c r="C93" i="42"/>
  <c r="K109" i="42"/>
  <c r="K85" i="42" s="1"/>
  <c r="C8" i="1" s="1"/>
  <c r="C69" i="42" s="1"/>
  <c r="C77" i="42" s="1"/>
  <c r="K30" i="51"/>
  <c r="K31" i="51" s="1"/>
  <c r="D194" i="51"/>
  <c r="D194" i="42"/>
  <c r="P98" i="49"/>
  <c r="P96" i="49"/>
  <c r="P99" i="49"/>
  <c r="O106" i="49"/>
  <c r="K80" i="49"/>
  <c r="K80" i="37"/>
  <c r="O80" i="37"/>
  <c r="O80" i="51"/>
  <c r="K80" i="51"/>
  <c r="C81" i="42"/>
  <c r="D194" i="37"/>
  <c r="D105" i="36"/>
  <c r="C250" i="42"/>
  <c r="E17" i="1"/>
  <c r="E12" i="1"/>
  <c r="J29" i="37"/>
  <c r="I29" i="37"/>
  <c r="H29" i="37"/>
  <c r="F12" i="1"/>
  <c r="C53" i="51"/>
  <c r="E17" i="2"/>
  <c r="E17" i="37"/>
  <c r="D17" i="37" s="1"/>
  <c r="D22" i="37" s="1"/>
  <c r="E17" i="49"/>
  <c r="E17" i="36"/>
  <c r="E17" i="51"/>
  <c r="E17" i="42"/>
  <c r="D17" i="42" s="1"/>
  <c r="D10" i="1"/>
  <c r="C10" i="1"/>
  <c r="D17" i="36" l="1"/>
  <c r="D22" i="36" s="1"/>
  <c r="C17" i="36"/>
  <c r="D17" i="49"/>
  <c r="D22" i="49" s="1"/>
  <c r="C17" i="49"/>
  <c r="C22" i="49" s="1"/>
  <c r="C17" i="2"/>
  <c r="D17" i="2"/>
  <c r="D22" i="2" s="1"/>
  <c r="D17" i="51"/>
  <c r="D22" i="51" s="1"/>
  <c r="C17" i="51"/>
  <c r="C22" i="51" s="1"/>
  <c r="C17" i="42"/>
  <c r="D22" i="42"/>
  <c r="P93" i="37"/>
  <c r="O104" i="37" s="1"/>
  <c r="L93" i="37"/>
  <c r="K104" i="37" s="1"/>
  <c r="P93" i="42"/>
  <c r="L93" i="42"/>
  <c r="P93" i="51"/>
  <c r="O104" i="51" s="1"/>
  <c r="L93" i="51"/>
  <c r="K104" i="51" s="1"/>
  <c r="P93" i="36"/>
  <c r="L93" i="36"/>
  <c r="K104" i="36" s="1"/>
  <c r="L93" i="49"/>
  <c r="P93" i="49"/>
  <c r="O104" i="49" s="1"/>
  <c r="P96" i="37"/>
  <c r="P98" i="37"/>
  <c r="P99" i="37"/>
  <c r="P97" i="37"/>
  <c r="K103" i="37"/>
  <c r="L99" i="37"/>
  <c r="L102" i="37"/>
  <c r="L96" i="37"/>
  <c r="L100" i="37"/>
  <c r="L103" i="37"/>
  <c r="L97" i="37"/>
  <c r="K105" i="37" s="1"/>
  <c r="K108" i="37" s="1"/>
  <c r="K84" i="37" s="1"/>
  <c r="P99" i="36"/>
  <c r="O105" i="36"/>
  <c r="O108" i="36" s="1"/>
  <c r="O84" i="36" s="1"/>
  <c r="P98" i="36"/>
  <c r="P97" i="36"/>
  <c r="P96" i="36"/>
  <c r="L103" i="36"/>
  <c r="L97" i="36"/>
  <c r="K103" i="36"/>
  <c r="K105" i="36"/>
  <c r="K108" i="36" s="1"/>
  <c r="K84" i="36" s="1"/>
  <c r="L102" i="36"/>
  <c r="L96" i="36"/>
  <c r="L99" i="36"/>
  <c r="L100" i="36"/>
  <c r="L100" i="51"/>
  <c r="K105" i="51" s="1"/>
  <c r="K108" i="51" s="1"/>
  <c r="K84" i="51" s="1"/>
  <c r="L103" i="51"/>
  <c r="L97" i="51"/>
  <c r="K103" i="51"/>
  <c r="L99" i="51"/>
  <c r="L102" i="51"/>
  <c r="L96" i="51"/>
  <c r="O105" i="51"/>
  <c r="O108" i="51" s="1"/>
  <c r="P97" i="51"/>
  <c r="P99" i="51"/>
  <c r="P96" i="51"/>
  <c r="P98" i="51"/>
  <c r="D108" i="49"/>
  <c r="C84" i="49" s="1"/>
  <c r="C68" i="49" s="1"/>
  <c r="C76" i="49" s="1"/>
  <c r="O108" i="49"/>
  <c r="O84" i="49" s="1"/>
  <c r="O109" i="49"/>
  <c r="D109" i="49"/>
  <c r="D109" i="36"/>
  <c r="D108" i="36"/>
  <c r="D109" i="51"/>
  <c r="D108" i="51"/>
  <c r="D108" i="42"/>
  <c r="C84" i="42" s="1"/>
  <c r="D109" i="42"/>
  <c r="C85" i="42" s="1"/>
  <c r="C85" i="37"/>
  <c r="G8" i="1" s="1"/>
  <c r="C69" i="37" s="1"/>
  <c r="C77" i="37" s="1"/>
  <c r="C84" i="37"/>
  <c r="C68" i="37" s="1"/>
  <c r="C76" i="37" s="1"/>
  <c r="C22" i="2"/>
  <c r="C135" i="2"/>
  <c r="L100" i="49"/>
  <c r="L103" i="49"/>
  <c r="L97" i="49"/>
  <c r="K103" i="49"/>
  <c r="L99" i="49"/>
  <c r="L102" i="49"/>
  <c r="L96" i="49"/>
  <c r="O104" i="36"/>
  <c r="O85" i="49"/>
  <c r="D104" i="36"/>
  <c r="O80" i="42"/>
  <c r="K80" i="42"/>
  <c r="D104" i="37"/>
  <c r="D107" i="37" s="1"/>
  <c r="D104" i="49"/>
  <c r="D104" i="51"/>
  <c r="D104" i="42"/>
  <c r="C22" i="36"/>
  <c r="I30" i="37"/>
  <c r="J30" i="37"/>
  <c r="J31" i="37" s="1"/>
  <c r="D8" i="15"/>
  <c r="D4" i="15"/>
  <c r="D14" i="15"/>
  <c r="G14" i="15"/>
  <c r="B14" i="15"/>
  <c r="C66" i="39"/>
  <c r="C66" i="40"/>
  <c r="C66" i="14"/>
  <c r="C259" i="37"/>
  <c r="C230" i="37"/>
  <c r="C259" i="49"/>
  <c r="C230" i="49"/>
  <c r="C259" i="36"/>
  <c r="C230" i="36"/>
  <c r="C259" i="51"/>
  <c r="C230" i="51"/>
  <c r="C259" i="42"/>
  <c r="C230" i="42"/>
  <c r="C231" i="42"/>
  <c r="C259" i="2"/>
  <c r="C230" i="2"/>
  <c r="A18" i="8"/>
  <c r="A11" i="8"/>
  <c r="A39" i="8"/>
  <c r="A32" i="8"/>
  <c r="A25" i="8"/>
  <c r="A61" i="8"/>
  <c r="A53" i="8"/>
  <c r="A46" i="8"/>
  <c r="A4" i="8"/>
  <c r="C260" i="51"/>
  <c r="C240" i="51"/>
  <c r="C239" i="51"/>
  <c r="C231" i="51"/>
  <c r="C219" i="51"/>
  <c r="C218" i="51"/>
  <c r="C217" i="51"/>
  <c r="C205" i="51"/>
  <c r="C161" i="51"/>
  <c r="C160" i="51"/>
  <c r="C158" i="51"/>
  <c r="D128" i="51"/>
  <c r="C122" i="51"/>
  <c r="C79" i="51"/>
  <c r="C78" i="51"/>
  <c r="C73" i="51"/>
  <c r="C71" i="51"/>
  <c r="D53" i="51"/>
  <c r="C11" i="51"/>
  <c r="C22" i="42" l="1"/>
  <c r="O106" i="37"/>
  <c r="O109" i="37" s="1"/>
  <c r="O85" i="37" s="1"/>
  <c r="O105" i="37"/>
  <c r="O108" i="37" s="1"/>
  <c r="O84" i="37" s="1"/>
  <c r="K105" i="49"/>
  <c r="K108" i="49" s="1"/>
  <c r="K84" i="49" s="1"/>
  <c r="O106" i="36"/>
  <c r="O109" i="36" s="1"/>
  <c r="O85" i="36" s="1"/>
  <c r="O106" i="51"/>
  <c r="O109" i="51" s="1"/>
  <c r="L100" i="42"/>
  <c r="L103" i="42"/>
  <c r="L97" i="42"/>
  <c r="L102" i="42"/>
  <c r="L96" i="42"/>
  <c r="K103" i="42"/>
  <c r="L99" i="42"/>
  <c r="K105" i="42"/>
  <c r="K108" i="42" s="1"/>
  <c r="P97" i="42"/>
  <c r="P99" i="42"/>
  <c r="P96" i="42"/>
  <c r="O104" i="42" s="1"/>
  <c r="O107" i="42" s="1"/>
  <c r="P98" i="42"/>
  <c r="K104" i="42"/>
  <c r="K107" i="42" s="1"/>
  <c r="K107" i="37"/>
  <c r="K83" i="37" s="1"/>
  <c r="O107" i="37"/>
  <c r="O83" i="37" s="1"/>
  <c r="D107" i="49"/>
  <c r="C85" i="49"/>
  <c r="F8" i="1" s="1"/>
  <c r="C69" i="49" s="1"/>
  <c r="C77" i="49" s="1"/>
  <c r="O107" i="49"/>
  <c r="O107" i="36"/>
  <c r="K107" i="36"/>
  <c r="C84" i="36"/>
  <c r="E7" i="1" s="1"/>
  <c r="C68" i="36" s="1"/>
  <c r="C76" i="36" s="1"/>
  <c r="D107" i="36"/>
  <c r="C85" i="36"/>
  <c r="E8" i="1" s="1"/>
  <c r="C69" i="36" s="1"/>
  <c r="C77" i="36" s="1"/>
  <c r="C84" i="51"/>
  <c r="K107" i="51"/>
  <c r="K83" i="51" s="1"/>
  <c r="D107" i="51"/>
  <c r="O107" i="51"/>
  <c r="O83" i="51" s="1"/>
  <c r="D6" i="1" s="1"/>
  <c r="C85" i="51"/>
  <c r="D107" i="42"/>
  <c r="C83" i="37"/>
  <c r="K104" i="49"/>
  <c r="O84" i="51"/>
  <c r="D7" i="1" s="1"/>
  <c r="C68" i="51" s="1"/>
  <c r="C76" i="51" s="1"/>
  <c r="O85" i="51"/>
  <c r="D8" i="1" s="1"/>
  <c r="C69" i="51" s="1"/>
  <c r="C77" i="51" s="1"/>
  <c r="D207" i="51"/>
  <c r="C212" i="51" s="1"/>
  <c r="O106" i="42" l="1"/>
  <c r="O109" i="42" s="1"/>
  <c r="O85" i="42" s="1"/>
  <c r="O105" i="42"/>
  <c r="O108" i="42" s="1"/>
  <c r="O84" i="42" s="1"/>
  <c r="K107" i="49"/>
  <c r="K83" i="49" s="1"/>
  <c r="O83" i="49"/>
  <c r="C83" i="49"/>
  <c r="C83" i="36"/>
  <c r="E6" i="1" s="1"/>
  <c r="K83" i="36"/>
  <c r="O83" i="36"/>
  <c r="C83" i="51"/>
  <c r="C83" i="42"/>
  <c r="K84" i="42"/>
  <c r="K83" i="42"/>
  <c r="C6" i="1" s="1"/>
  <c r="O83" i="42"/>
  <c r="C17" i="37"/>
  <c r="C22" i="37" s="1"/>
  <c r="C7" i="1" l="1"/>
  <c r="C68" i="42" s="1"/>
  <c r="C76" i="42" s="1"/>
  <c r="J29" i="49"/>
  <c r="H29" i="49"/>
  <c r="I29" i="49"/>
  <c r="U90" i="36"/>
  <c r="U83" i="36"/>
  <c r="U87" i="36" s="1"/>
  <c r="C244" i="49"/>
  <c r="C243" i="49"/>
  <c r="C242" i="49"/>
  <c r="C241" i="49"/>
  <c r="C236" i="49"/>
  <c r="C214" i="49"/>
  <c r="D188" i="49"/>
  <c r="C188" i="49"/>
  <c r="C187" i="49"/>
  <c r="D186" i="49"/>
  <c r="C186" i="49"/>
  <c r="C180" i="49"/>
  <c r="C179" i="49"/>
  <c r="C178" i="49"/>
  <c r="C177" i="49"/>
  <c r="C175" i="49"/>
  <c r="C172" i="49"/>
  <c r="C170" i="49"/>
  <c r="C169" i="49"/>
  <c r="C168" i="49"/>
  <c r="C166" i="49"/>
  <c r="C260" i="49"/>
  <c r="C240" i="49"/>
  <c r="C239" i="49"/>
  <c r="C231" i="49"/>
  <c r="C219" i="49"/>
  <c r="C218" i="49"/>
  <c r="C217" i="49"/>
  <c r="C205" i="49"/>
  <c r="C161" i="49"/>
  <c r="C160" i="49"/>
  <c r="C158" i="49"/>
  <c r="D128" i="49"/>
  <c r="C122" i="49"/>
  <c r="C79" i="49"/>
  <c r="C78" i="49"/>
  <c r="C73" i="49"/>
  <c r="C71" i="49"/>
  <c r="D53" i="49"/>
  <c r="C53" i="49"/>
  <c r="C11" i="49"/>
  <c r="F42" i="1"/>
  <c r="C229" i="49" s="1"/>
  <c r="I30" i="49" l="1"/>
  <c r="I31" i="49" s="1"/>
  <c r="H30" i="49"/>
  <c r="H31" i="49" s="1"/>
  <c r="J30" i="49"/>
  <c r="E250" i="49"/>
  <c r="U92" i="36"/>
  <c r="C203" i="49"/>
  <c r="D207" i="49"/>
  <c r="C212" i="49" s="1"/>
  <c r="C118" i="49"/>
  <c r="C8" i="49"/>
  <c r="C258" i="49"/>
  <c r="C70" i="49"/>
  <c r="C159" i="49"/>
  <c r="C171" i="49"/>
  <c r="C173" i="49" s="1"/>
  <c r="C174" i="49" s="1"/>
  <c r="J27" i="1"/>
  <c r="F6" i="1" l="1"/>
  <c r="J32" i="1"/>
  <c r="J24" i="1"/>
  <c r="C67" i="49" l="1"/>
  <c r="C75" i="49" s="1"/>
  <c r="C258" i="51" l="1"/>
  <c r="C229" i="51"/>
  <c r="E250" i="51" s="1"/>
  <c r="C70" i="51"/>
  <c r="C8" i="51"/>
  <c r="C118" i="51"/>
  <c r="C203" i="51"/>
  <c r="C159" i="51"/>
  <c r="J63" i="8"/>
  <c r="D63" i="8"/>
  <c r="J55" i="8"/>
  <c r="D55" i="8"/>
  <c r="C258" i="42"/>
  <c r="C229" i="42"/>
  <c r="E250" i="42" s="1"/>
  <c r="C203" i="42"/>
  <c r="C159" i="42"/>
  <c r="C118" i="42"/>
  <c r="C70" i="42"/>
  <c r="C8" i="42"/>
  <c r="C260" i="42"/>
  <c r="C240" i="42"/>
  <c r="C239" i="42"/>
  <c r="C219" i="42"/>
  <c r="C218" i="42"/>
  <c r="C217" i="42"/>
  <c r="C205" i="42"/>
  <c r="C161" i="42"/>
  <c r="C160" i="42"/>
  <c r="C158" i="42"/>
  <c r="D128" i="42"/>
  <c r="C122" i="42"/>
  <c r="C79" i="42"/>
  <c r="C78" i="42"/>
  <c r="C73" i="42"/>
  <c r="C71" i="42"/>
  <c r="D53" i="42"/>
  <c r="C53" i="42"/>
  <c r="C11" i="42"/>
  <c r="D207" i="42" l="1"/>
  <c r="C212" i="42" s="1"/>
  <c r="C45" i="1"/>
  <c r="C46" i="1"/>
  <c r="C43" i="1"/>
  <c r="C47" i="1"/>
  <c r="C48" i="1"/>
  <c r="D48" i="1" s="1"/>
  <c r="E27" i="51" s="1"/>
  <c r="C49" i="1"/>
  <c r="C50" i="1"/>
  <c r="D50" i="1" s="1"/>
  <c r="C123" i="51" s="1"/>
  <c r="C51" i="1"/>
  <c r="C52" i="1"/>
  <c r="D52" i="1" s="1"/>
  <c r="C12" i="51" s="1"/>
  <c r="C13" i="1"/>
  <c r="C214" i="42" s="1"/>
  <c r="C17" i="1"/>
  <c r="F17" i="1" s="1"/>
  <c r="C213" i="51"/>
  <c r="C21" i="1"/>
  <c r="C22" i="1"/>
  <c r="D22" i="1" s="1"/>
  <c r="C23" i="1"/>
  <c r="D193" i="42" s="1"/>
  <c r="C24" i="1"/>
  <c r="C26" i="1"/>
  <c r="C27" i="1"/>
  <c r="C28" i="1"/>
  <c r="C29" i="1"/>
  <c r="C30" i="1"/>
  <c r="C31" i="1"/>
  <c r="C32" i="1"/>
  <c r="C33" i="1"/>
  <c r="C34" i="1"/>
  <c r="C35" i="1"/>
  <c r="D35" i="1" s="1"/>
  <c r="C37" i="1"/>
  <c r="C39" i="1"/>
  <c r="C40" i="1"/>
  <c r="C41" i="1"/>
  <c r="D23" i="1" l="1"/>
  <c r="C249" i="42"/>
  <c r="C168" i="42"/>
  <c r="D31" i="1"/>
  <c r="C168" i="51" s="1"/>
  <c r="F46" i="1"/>
  <c r="D46" i="1"/>
  <c r="J20" i="8"/>
  <c r="D20" i="8"/>
  <c r="C20" i="8"/>
  <c r="I20" i="8"/>
  <c r="C179" i="42"/>
  <c r="D40" i="1"/>
  <c r="C179" i="51" s="1"/>
  <c r="C177" i="42"/>
  <c r="D34" i="1"/>
  <c r="C177" i="51" s="1"/>
  <c r="C172" i="42"/>
  <c r="D30" i="1"/>
  <c r="C172" i="51" s="1"/>
  <c r="C175" i="42"/>
  <c r="D26" i="1"/>
  <c r="C175" i="51" s="1"/>
  <c r="C166" i="42"/>
  <c r="D21" i="1"/>
  <c r="C166" i="51" s="1"/>
  <c r="D13" i="1"/>
  <c r="F51" i="1"/>
  <c r="D51" i="1"/>
  <c r="F47" i="1"/>
  <c r="E25" i="49" s="1"/>
  <c r="D47" i="1"/>
  <c r="F45" i="1"/>
  <c r="D45" i="1"/>
  <c r="C180" i="42"/>
  <c r="D41" i="1"/>
  <c r="C180" i="51" s="1"/>
  <c r="C169" i="42"/>
  <c r="D27" i="1"/>
  <c r="C169" i="51" s="1"/>
  <c r="F15" i="1"/>
  <c r="C120" i="49" s="1"/>
  <c r="D129" i="51"/>
  <c r="C129" i="51"/>
  <c r="C261" i="49"/>
  <c r="D256" i="49" s="1"/>
  <c r="C67" i="51"/>
  <c r="C75" i="51" s="1"/>
  <c r="D188" i="51"/>
  <c r="C244" i="51"/>
  <c r="D186" i="51"/>
  <c r="C236" i="51"/>
  <c r="C178" i="42"/>
  <c r="D39" i="1"/>
  <c r="C178" i="51" s="1"/>
  <c r="C243" i="42"/>
  <c r="D33" i="1"/>
  <c r="C243" i="51" s="1"/>
  <c r="C242" i="42"/>
  <c r="D29" i="1"/>
  <c r="C242" i="51" s="1"/>
  <c r="C186" i="42"/>
  <c r="D24" i="1"/>
  <c r="C186" i="51" s="1"/>
  <c r="C188" i="42"/>
  <c r="D37" i="1"/>
  <c r="C188" i="51" s="1"/>
  <c r="C187" i="42"/>
  <c r="D32" i="1"/>
  <c r="C187" i="51" s="1"/>
  <c r="D28" i="1"/>
  <c r="D17" i="1"/>
  <c r="F49" i="1"/>
  <c r="D49" i="1"/>
  <c r="F43" i="1"/>
  <c r="C10" i="49" s="1"/>
  <c r="D43" i="1"/>
  <c r="C119" i="49"/>
  <c r="C123" i="42"/>
  <c r="C129" i="42" s="1"/>
  <c r="F50" i="1"/>
  <c r="C123" i="49" s="1"/>
  <c r="C12" i="42"/>
  <c r="F52" i="1"/>
  <c r="C12" i="49" s="1"/>
  <c r="E27" i="42"/>
  <c r="F48" i="1"/>
  <c r="E27" i="49" s="1"/>
  <c r="C13" i="8"/>
  <c r="I13" i="8"/>
  <c r="D13" i="8"/>
  <c r="J13" i="8"/>
  <c r="C261" i="42"/>
  <c r="D256" i="42" s="1"/>
  <c r="E249" i="42"/>
  <c r="E29" i="42"/>
  <c r="C29" i="42" s="1"/>
  <c r="C157" i="42"/>
  <c r="C238" i="42"/>
  <c r="C72" i="42"/>
  <c r="C82" i="42" s="1"/>
  <c r="C121" i="42"/>
  <c r="C10" i="42"/>
  <c r="C241" i="42"/>
  <c r="C170" i="42"/>
  <c r="D188" i="42"/>
  <c r="C244" i="42"/>
  <c r="D186" i="42"/>
  <c r="C236" i="42"/>
  <c r="E28" i="42"/>
  <c r="E26" i="42"/>
  <c r="E25" i="42"/>
  <c r="C25" i="42" s="1"/>
  <c r="C65" i="39"/>
  <c r="C55" i="39"/>
  <c r="C54" i="39"/>
  <c r="C57" i="39" s="1"/>
  <c r="C52" i="39"/>
  <c r="C49" i="39"/>
  <c r="C48" i="39"/>
  <c r="C38" i="39"/>
  <c r="C37" i="39"/>
  <c r="C36" i="39"/>
  <c r="C35" i="39"/>
  <c r="C26" i="39"/>
  <c r="C23" i="39"/>
  <c r="C22" i="39"/>
  <c r="C14" i="39"/>
  <c r="C9" i="39"/>
  <c r="C8" i="39"/>
  <c r="C65" i="40"/>
  <c r="C55" i="40"/>
  <c r="C54" i="40"/>
  <c r="C52" i="40"/>
  <c r="C49" i="40"/>
  <c r="C48" i="40"/>
  <c r="C38" i="40"/>
  <c r="C37" i="40"/>
  <c r="C36" i="40"/>
  <c r="C35" i="40"/>
  <c r="C26" i="40"/>
  <c r="C23" i="40"/>
  <c r="C22" i="40"/>
  <c r="C14" i="40"/>
  <c r="C9" i="40"/>
  <c r="C8" i="40"/>
  <c r="L63" i="8"/>
  <c r="L55" i="8"/>
  <c r="C67" i="40"/>
  <c r="C68" i="40"/>
  <c r="C11" i="40"/>
  <c r="C10" i="40"/>
  <c r="C67" i="39"/>
  <c r="C68" i="39"/>
  <c r="C11" i="39"/>
  <c r="C10" i="39"/>
  <c r="D28" i="42" l="1"/>
  <c r="D36" i="42" s="1"/>
  <c r="C28" i="42"/>
  <c r="C30" i="42" s="1"/>
  <c r="C249" i="51"/>
  <c r="E249" i="51" s="1"/>
  <c r="D193" i="51"/>
  <c r="E194" i="42"/>
  <c r="G194" i="42" s="1"/>
  <c r="E193" i="42"/>
  <c r="G193" i="42" s="1"/>
  <c r="D25" i="49"/>
  <c r="C25" i="49"/>
  <c r="D25" i="42"/>
  <c r="D29" i="42"/>
  <c r="C171" i="42"/>
  <c r="C173" i="42" s="1"/>
  <c r="C174" i="42" s="1"/>
  <c r="E187" i="42" s="1"/>
  <c r="G187" i="42" s="1"/>
  <c r="D63" i="40"/>
  <c r="E26" i="49"/>
  <c r="D52" i="39"/>
  <c r="D26" i="40"/>
  <c r="D18" i="40" s="1"/>
  <c r="D19" i="40" s="1"/>
  <c r="D52" i="40"/>
  <c r="D63" i="39"/>
  <c r="L20" i="8"/>
  <c r="E28" i="49"/>
  <c r="E29" i="49"/>
  <c r="C215" i="42"/>
  <c r="C72" i="49"/>
  <c r="E236" i="49"/>
  <c r="C238" i="49"/>
  <c r="E237" i="49" s="1"/>
  <c r="C121" i="49"/>
  <c r="F114" i="49" s="1"/>
  <c r="E29" i="51"/>
  <c r="C29" i="51" s="1"/>
  <c r="C130" i="51"/>
  <c r="C134" i="51" s="1"/>
  <c r="C136" i="51" s="1"/>
  <c r="C137" i="51" s="1"/>
  <c r="C131" i="51"/>
  <c r="C139" i="51" s="1"/>
  <c r="O20" i="8"/>
  <c r="F20" i="8"/>
  <c r="E25" i="51"/>
  <c r="C25" i="51" s="1"/>
  <c r="E26" i="51"/>
  <c r="E28" i="51"/>
  <c r="C214" i="51"/>
  <c r="C215" i="51" s="1"/>
  <c r="E237" i="42"/>
  <c r="D129" i="42"/>
  <c r="D131" i="42" s="1"/>
  <c r="D139" i="42" s="1"/>
  <c r="C157" i="49"/>
  <c r="D130" i="51"/>
  <c r="D134" i="51" s="1"/>
  <c r="D11" i="1" s="1"/>
  <c r="D131" i="51"/>
  <c r="D139" i="51" s="1"/>
  <c r="E178" i="42"/>
  <c r="G178" i="42" s="1"/>
  <c r="C157" i="51"/>
  <c r="C72" i="51"/>
  <c r="C82" i="51" s="1"/>
  <c r="D63" i="51" s="1"/>
  <c r="C238" i="51"/>
  <c r="C121" i="51"/>
  <c r="C10" i="51"/>
  <c r="C54" i="51" s="1"/>
  <c r="C241" i="51"/>
  <c r="C170" i="51"/>
  <c r="C171" i="51" s="1"/>
  <c r="C173" i="51" s="1"/>
  <c r="C174" i="51" s="1"/>
  <c r="C261" i="51"/>
  <c r="D256" i="51" s="1"/>
  <c r="D14" i="40"/>
  <c r="F4" i="40" s="1"/>
  <c r="D26" i="39"/>
  <c r="D18" i="39" s="1"/>
  <c r="D57" i="39"/>
  <c r="C57" i="40"/>
  <c r="D57" i="40" s="1"/>
  <c r="D14" i="39"/>
  <c r="F4" i="39" s="1"/>
  <c r="F6" i="39" s="1"/>
  <c r="C129" i="49"/>
  <c r="D129" i="49"/>
  <c r="C213" i="49"/>
  <c r="C215" i="49" s="1"/>
  <c r="C54" i="49"/>
  <c r="C220" i="49" s="1"/>
  <c r="D54" i="49"/>
  <c r="D56" i="49" s="1"/>
  <c r="D58" i="49" s="1"/>
  <c r="C40" i="39"/>
  <c r="D40" i="39" s="1"/>
  <c r="D31" i="39" s="1"/>
  <c r="C40" i="40"/>
  <c r="D40" i="40" s="1"/>
  <c r="D31" i="40" s="1"/>
  <c r="D32" i="40" s="1"/>
  <c r="E180" i="42"/>
  <c r="G180" i="42" s="1"/>
  <c r="E244" i="42"/>
  <c r="E186" i="42"/>
  <c r="G186" i="42" s="1"/>
  <c r="E177" i="42"/>
  <c r="G177" i="42" s="1"/>
  <c r="E188" i="42"/>
  <c r="G188" i="42" s="1"/>
  <c r="E236" i="42"/>
  <c r="L13" i="8"/>
  <c r="O13" i="8"/>
  <c r="F13" i="8"/>
  <c r="E166" i="42"/>
  <c r="E179" i="42"/>
  <c r="G179" i="42" s="1"/>
  <c r="C131" i="42"/>
  <c r="C139" i="42" s="1"/>
  <c r="C130" i="42"/>
  <c r="C134" i="42" s="1"/>
  <c r="C136" i="42" s="1"/>
  <c r="C137" i="42" s="1"/>
  <c r="D54" i="42"/>
  <c r="D56" i="42" s="1"/>
  <c r="D58" i="42" s="1"/>
  <c r="C54" i="42"/>
  <c r="C220" i="42" s="1"/>
  <c r="D145" i="42"/>
  <c r="C145" i="42"/>
  <c r="F63" i="8"/>
  <c r="F55" i="8"/>
  <c r="D44" i="42" l="1"/>
  <c r="D28" i="51"/>
  <c r="D36" i="51" s="1"/>
  <c r="C28" i="51"/>
  <c r="C30" i="51"/>
  <c r="D28" i="49"/>
  <c r="D36" i="49" s="1"/>
  <c r="C28" i="49"/>
  <c r="C44" i="42"/>
  <c r="C36" i="42"/>
  <c r="D20" i="40"/>
  <c r="D136" i="51"/>
  <c r="D137" i="51" s="1"/>
  <c r="D14" i="1"/>
  <c r="D15" i="1" s="1"/>
  <c r="C120" i="51" s="1"/>
  <c r="D12" i="1"/>
  <c r="C119" i="51" s="1"/>
  <c r="C82" i="49"/>
  <c r="D63" i="49" s="1"/>
  <c r="D64" i="49" s="1"/>
  <c r="G166" i="42"/>
  <c r="E177" i="51"/>
  <c r="G177" i="51" s="1"/>
  <c r="E193" i="51"/>
  <c r="G193" i="51" s="1"/>
  <c r="E194" i="51"/>
  <c r="G194" i="51" s="1"/>
  <c r="E180" i="49"/>
  <c r="G180" i="49" s="1"/>
  <c r="E193" i="49"/>
  <c r="G193" i="49" s="1"/>
  <c r="E194" i="49"/>
  <c r="G194" i="49" s="1"/>
  <c r="D227" i="42"/>
  <c r="E167" i="42"/>
  <c r="G167" i="42" s="1"/>
  <c r="D37" i="42"/>
  <c r="D45" i="42"/>
  <c r="C37" i="42"/>
  <c r="C45" i="42"/>
  <c r="D33" i="42"/>
  <c r="D30" i="42"/>
  <c r="D41" i="42"/>
  <c r="C41" i="49"/>
  <c r="C33" i="49"/>
  <c r="D25" i="51"/>
  <c r="D44" i="51"/>
  <c r="D29" i="51"/>
  <c r="D29" i="49"/>
  <c r="C29" i="49"/>
  <c r="C33" i="42"/>
  <c r="C41" i="42"/>
  <c r="D33" i="49"/>
  <c r="D41" i="49"/>
  <c r="E179" i="49"/>
  <c r="G179" i="49" s="1"/>
  <c r="D199" i="42"/>
  <c r="F5" i="40"/>
  <c r="H5" i="40" s="1"/>
  <c r="F5" i="39"/>
  <c r="H5" i="39" s="1"/>
  <c r="H4" i="39"/>
  <c r="H4" i="40"/>
  <c r="G4" i="39"/>
  <c r="F6" i="40"/>
  <c r="D44" i="39"/>
  <c r="D45" i="39" s="1"/>
  <c r="G4" i="40"/>
  <c r="D44" i="40"/>
  <c r="D19" i="39"/>
  <c r="D20" i="39"/>
  <c r="E249" i="49"/>
  <c r="E244" i="49"/>
  <c r="E237" i="51"/>
  <c r="E187" i="49"/>
  <c r="G187" i="49" s="1"/>
  <c r="E186" i="49"/>
  <c r="G186" i="49" s="1"/>
  <c r="E167" i="49"/>
  <c r="G167" i="49" s="1"/>
  <c r="E178" i="49"/>
  <c r="G178" i="49" s="1"/>
  <c r="C145" i="49"/>
  <c r="E177" i="49"/>
  <c r="G177" i="49" s="1"/>
  <c r="E188" i="49"/>
  <c r="G188" i="49" s="1"/>
  <c r="E166" i="49"/>
  <c r="D130" i="42"/>
  <c r="D134" i="42" s="1"/>
  <c r="C11" i="1" s="1"/>
  <c r="E244" i="51"/>
  <c r="D65" i="51"/>
  <c r="D64" i="51"/>
  <c r="C220" i="51"/>
  <c r="D199" i="51" s="1"/>
  <c r="D54" i="51"/>
  <c r="D56" i="51" s="1"/>
  <c r="D58" i="51" s="1"/>
  <c r="D145" i="49"/>
  <c r="E178" i="51"/>
  <c r="G178" i="51" s="1"/>
  <c r="D145" i="51"/>
  <c r="C145" i="51"/>
  <c r="C147" i="51" s="1"/>
  <c r="C148" i="51" s="1"/>
  <c r="E180" i="51"/>
  <c r="G180" i="51" s="1"/>
  <c r="E187" i="51"/>
  <c r="G187" i="51" s="1"/>
  <c r="E188" i="51"/>
  <c r="G188" i="51" s="1"/>
  <c r="E179" i="51"/>
  <c r="G179" i="51" s="1"/>
  <c r="E186" i="51"/>
  <c r="G186" i="51" s="1"/>
  <c r="E167" i="51"/>
  <c r="G167" i="51" s="1"/>
  <c r="E166" i="51"/>
  <c r="E236" i="51"/>
  <c r="F115" i="49"/>
  <c r="F116" i="49"/>
  <c r="G114" i="49"/>
  <c r="H114" i="49"/>
  <c r="C130" i="49"/>
  <c r="C134" i="49" s="1"/>
  <c r="C136" i="49" s="1"/>
  <c r="C137" i="49" s="1"/>
  <c r="C131" i="49"/>
  <c r="C139" i="49" s="1"/>
  <c r="D131" i="49"/>
  <c r="D139" i="49" s="1"/>
  <c r="D130" i="49"/>
  <c r="D134" i="49" s="1"/>
  <c r="D136" i="49" s="1"/>
  <c r="D137" i="49" s="1"/>
  <c r="C56" i="49"/>
  <c r="C58" i="49" s="1"/>
  <c r="D254" i="49"/>
  <c r="K35" i="8"/>
  <c r="E35" i="8"/>
  <c r="D199" i="49"/>
  <c r="D32" i="39"/>
  <c r="D33" i="39"/>
  <c r="D33" i="40"/>
  <c r="C147" i="42"/>
  <c r="C148" i="42" s="1"/>
  <c r="K14" i="8"/>
  <c r="E14" i="8"/>
  <c r="D254" i="42"/>
  <c r="C56" i="42"/>
  <c r="C58" i="42" s="1"/>
  <c r="D61" i="39"/>
  <c r="K64" i="8"/>
  <c r="E64" i="8"/>
  <c r="D61" i="40"/>
  <c r="E56" i="8"/>
  <c r="K56" i="8"/>
  <c r="G6" i="39"/>
  <c r="H6" i="39"/>
  <c r="E61" i="39" l="1"/>
  <c r="C61" i="39"/>
  <c r="D62" i="39" s="1"/>
  <c r="E45" i="39"/>
  <c r="C45" i="39"/>
  <c r="E61" i="40"/>
  <c r="C61" i="40"/>
  <c r="D62" i="40" s="1"/>
  <c r="C254" i="49"/>
  <c r="E254" i="49"/>
  <c r="C254" i="42"/>
  <c r="E254" i="42"/>
  <c r="D44" i="49"/>
  <c r="C44" i="51"/>
  <c r="C36" i="51"/>
  <c r="C36" i="49"/>
  <c r="C44" i="49"/>
  <c r="D147" i="51"/>
  <c r="D148" i="51" s="1"/>
  <c r="F114" i="51"/>
  <c r="D136" i="42"/>
  <c r="D137" i="42" s="1"/>
  <c r="D147" i="42" s="1"/>
  <c r="D148" i="42" s="1"/>
  <c r="C14" i="1"/>
  <c r="C15" i="1" s="1"/>
  <c r="C12" i="1"/>
  <c r="D65" i="49"/>
  <c r="J32" i="8" s="1"/>
  <c r="G166" i="49"/>
  <c r="F155" i="49"/>
  <c r="H155" i="49" s="1"/>
  <c r="F155" i="51"/>
  <c r="F155" i="42"/>
  <c r="H155" i="42" s="1"/>
  <c r="D227" i="49"/>
  <c r="D227" i="51"/>
  <c r="C37" i="49"/>
  <c r="C45" i="49"/>
  <c r="D200" i="42"/>
  <c r="C46" i="42"/>
  <c r="C38" i="42"/>
  <c r="C37" i="51"/>
  <c r="C45" i="51"/>
  <c r="D33" i="51"/>
  <c r="D30" i="51"/>
  <c r="D41" i="51"/>
  <c r="D46" i="42"/>
  <c r="D38" i="42"/>
  <c r="C4" i="1" s="1"/>
  <c r="D37" i="49"/>
  <c r="D45" i="49"/>
  <c r="C30" i="49"/>
  <c r="C38" i="49" s="1"/>
  <c r="D201" i="42"/>
  <c r="D30" i="49"/>
  <c r="D45" i="51"/>
  <c r="D37" i="51"/>
  <c r="C33" i="51"/>
  <c r="C41" i="51"/>
  <c r="G5" i="39"/>
  <c r="G5" i="40"/>
  <c r="C56" i="51"/>
  <c r="C58" i="51" s="1"/>
  <c r="H6" i="40"/>
  <c r="I53" i="8" s="1"/>
  <c r="G6" i="40"/>
  <c r="C53" i="8" s="1"/>
  <c r="D46" i="39"/>
  <c r="J61" i="8"/>
  <c r="C147" i="49"/>
  <c r="C148" i="49" s="1"/>
  <c r="D147" i="49"/>
  <c r="D148" i="49" s="1"/>
  <c r="D226" i="42"/>
  <c r="G166" i="51"/>
  <c r="D254" i="51"/>
  <c r="K21" i="8"/>
  <c r="E21" i="8"/>
  <c r="D200" i="51"/>
  <c r="D201" i="51"/>
  <c r="D200" i="49"/>
  <c r="D201" i="49"/>
  <c r="E36" i="8"/>
  <c r="F35" i="8"/>
  <c r="L35" i="8"/>
  <c r="K36" i="8"/>
  <c r="F65" i="1" s="1"/>
  <c r="D255" i="49"/>
  <c r="H116" i="49"/>
  <c r="G116" i="49"/>
  <c r="G115" i="49"/>
  <c r="H115" i="49"/>
  <c r="D62" i="8"/>
  <c r="F62" i="8" s="1"/>
  <c r="D54" i="8"/>
  <c r="F54" i="8" s="1"/>
  <c r="E15" i="8"/>
  <c r="F14" i="8"/>
  <c r="D255" i="42"/>
  <c r="L14" i="8"/>
  <c r="K15" i="8"/>
  <c r="E65" i="8"/>
  <c r="D23" i="15" s="1"/>
  <c r="F64" i="8"/>
  <c r="L64" i="8"/>
  <c r="K65" i="8"/>
  <c r="J53" i="8"/>
  <c r="D53" i="8"/>
  <c r="L56" i="8"/>
  <c r="K57" i="8"/>
  <c r="F56" i="8"/>
  <c r="E57" i="8"/>
  <c r="C23" i="15" s="1"/>
  <c r="D45" i="40"/>
  <c r="D46" i="40"/>
  <c r="I61" i="8"/>
  <c r="C61" i="8"/>
  <c r="E62" i="39" l="1"/>
  <c r="C62" i="39"/>
  <c r="C46" i="39"/>
  <c r="E46" i="39"/>
  <c r="C62" i="40"/>
  <c r="E62" i="40"/>
  <c r="E46" i="40"/>
  <c r="C46" i="40"/>
  <c r="E45" i="40"/>
  <c r="C45" i="40"/>
  <c r="C255" i="49"/>
  <c r="E255" i="49"/>
  <c r="C254" i="51"/>
  <c r="E254" i="51"/>
  <c r="E226" i="42"/>
  <c r="C226" i="42"/>
  <c r="C255" i="42"/>
  <c r="E255" i="42"/>
  <c r="H114" i="51"/>
  <c r="F115" i="51"/>
  <c r="G114" i="51"/>
  <c r="F116" i="51"/>
  <c r="D32" i="8"/>
  <c r="G155" i="42"/>
  <c r="G153" i="42"/>
  <c r="D12" i="8"/>
  <c r="C46" i="49"/>
  <c r="C38" i="51"/>
  <c r="C46" i="51"/>
  <c r="D46" i="49"/>
  <c r="D38" i="49"/>
  <c r="F4" i="1" s="1"/>
  <c r="D46" i="51"/>
  <c r="D38" i="51"/>
  <c r="D4" i="1" s="1"/>
  <c r="D61" i="8"/>
  <c r="D65" i="8" s="1"/>
  <c r="D22" i="15" s="1"/>
  <c r="C29" i="15"/>
  <c r="D29" i="15"/>
  <c r="D34" i="8"/>
  <c r="H153" i="49"/>
  <c r="G155" i="49"/>
  <c r="C34" i="8" s="1"/>
  <c r="C65" i="1"/>
  <c r="F59" i="1"/>
  <c r="C59" i="1"/>
  <c r="E22" i="8"/>
  <c r="D59" i="1" s="1"/>
  <c r="F21" i="8"/>
  <c r="G155" i="51"/>
  <c r="H155" i="51"/>
  <c r="K22" i="8"/>
  <c r="D65" i="1" s="1"/>
  <c r="L21" i="8"/>
  <c r="D18" i="8"/>
  <c r="J18" i="8"/>
  <c r="D255" i="51"/>
  <c r="I34" i="8"/>
  <c r="C33" i="8"/>
  <c r="I33" i="8"/>
  <c r="J54" i="8"/>
  <c r="L54" i="8" s="1"/>
  <c r="J62" i="8"/>
  <c r="L62" i="8" s="1"/>
  <c r="C65" i="8"/>
  <c r="D21" i="15" s="1"/>
  <c r="O61" i="8"/>
  <c r="O65" i="8" s="1"/>
  <c r="L61" i="8"/>
  <c r="I65" i="8"/>
  <c r="D57" i="8"/>
  <c r="C22" i="15" s="1"/>
  <c r="C57" i="8"/>
  <c r="C21" i="15" s="1"/>
  <c r="F53" i="8"/>
  <c r="F57" i="8" s="1"/>
  <c r="O53" i="8"/>
  <c r="O57" i="8" s="1"/>
  <c r="L53" i="8"/>
  <c r="I57" i="8"/>
  <c r="K153" i="49" l="1"/>
  <c r="E153" i="49"/>
  <c r="C255" i="51"/>
  <c r="E255" i="51"/>
  <c r="J153" i="42"/>
  <c r="D153" i="42"/>
  <c r="G115" i="51"/>
  <c r="H115" i="51"/>
  <c r="H116" i="51"/>
  <c r="G116" i="51"/>
  <c r="J34" i="8"/>
  <c r="L34" i="8" s="1"/>
  <c r="F154" i="42"/>
  <c r="H153" i="42"/>
  <c r="J12" i="8"/>
  <c r="C9" i="49"/>
  <c r="F4" i="49" s="1"/>
  <c r="F16" i="1"/>
  <c r="F18" i="1" s="1"/>
  <c r="D226" i="49"/>
  <c r="F61" i="8"/>
  <c r="F65" i="8" s="1"/>
  <c r="D24" i="15"/>
  <c r="D27" i="15"/>
  <c r="C27" i="15"/>
  <c r="C24" i="15"/>
  <c r="F154" i="49"/>
  <c r="G153" i="49"/>
  <c r="C9" i="51"/>
  <c r="F4" i="51" s="1"/>
  <c r="D16" i="1"/>
  <c r="D226" i="51"/>
  <c r="F154" i="51"/>
  <c r="H153" i="51"/>
  <c r="G153" i="51"/>
  <c r="J19" i="8"/>
  <c r="J22" i="8" s="1"/>
  <c r="D64" i="1" s="1"/>
  <c r="D19" i="8"/>
  <c r="D22" i="8" s="1"/>
  <c r="D58" i="1" s="1"/>
  <c r="L65" i="8"/>
  <c r="O34" i="8"/>
  <c r="F34" i="8"/>
  <c r="O33" i="8"/>
  <c r="J33" i="8"/>
  <c r="D33" i="8"/>
  <c r="D36" i="8" s="1"/>
  <c r="J65" i="8"/>
  <c r="L57" i="8"/>
  <c r="J57" i="8"/>
  <c r="C154" i="49" l="1"/>
  <c r="I154" i="49"/>
  <c r="J153" i="49"/>
  <c r="D153" i="49"/>
  <c r="C226" i="49"/>
  <c r="E226" i="49"/>
  <c r="J153" i="51"/>
  <c r="D153" i="51"/>
  <c r="K153" i="51"/>
  <c r="E153" i="51"/>
  <c r="C154" i="51"/>
  <c r="I154" i="51"/>
  <c r="E226" i="51"/>
  <c r="C226" i="51"/>
  <c r="C154" i="42"/>
  <c r="I154" i="42"/>
  <c r="K153" i="42"/>
  <c r="E153" i="42"/>
  <c r="I19" i="8"/>
  <c r="L19" i="8" s="1"/>
  <c r="C19" i="8"/>
  <c r="O19" i="8" s="1"/>
  <c r="J36" i="8"/>
  <c r="F64" i="1" s="1"/>
  <c r="G154" i="42"/>
  <c r="H154" i="42"/>
  <c r="G4" i="49"/>
  <c r="F5" i="49"/>
  <c r="F6" i="49"/>
  <c r="H4" i="49"/>
  <c r="G154" i="49"/>
  <c r="H154" i="49"/>
  <c r="C28" i="15"/>
  <c r="C30" i="15" s="1"/>
  <c r="D28" i="15"/>
  <c r="D30" i="15" s="1"/>
  <c r="F58" i="1"/>
  <c r="G154" i="51"/>
  <c r="H154" i="51"/>
  <c r="D18" i="1"/>
  <c r="G4" i="51"/>
  <c r="H4" i="51"/>
  <c r="F5" i="51"/>
  <c r="F6" i="51"/>
  <c r="L33" i="8"/>
  <c r="F33" i="8"/>
  <c r="C119" i="42"/>
  <c r="J41" i="8"/>
  <c r="I41" i="8"/>
  <c r="D41" i="8"/>
  <c r="C41" i="8"/>
  <c r="O41" i="8" s="1"/>
  <c r="C260" i="37"/>
  <c r="C240" i="37"/>
  <c r="C239" i="37"/>
  <c r="C231" i="37"/>
  <c r="C219" i="37"/>
  <c r="C218" i="37"/>
  <c r="C217" i="37"/>
  <c r="C205" i="37"/>
  <c r="C161" i="37"/>
  <c r="C160" i="37"/>
  <c r="C158" i="37"/>
  <c r="D128" i="37"/>
  <c r="C122" i="37"/>
  <c r="C79" i="37"/>
  <c r="C78" i="37"/>
  <c r="C73" i="37"/>
  <c r="C71" i="37"/>
  <c r="D53" i="37"/>
  <c r="C53" i="37"/>
  <c r="C11" i="37"/>
  <c r="C175" i="37"/>
  <c r="C260" i="36"/>
  <c r="C240" i="36"/>
  <c r="C239" i="36"/>
  <c r="C231" i="36"/>
  <c r="C219" i="36"/>
  <c r="C218" i="36"/>
  <c r="C217" i="36"/>
  <c r="C205" i="36"/>
  <c r="C161" i="36"/>
  <c r="C160" i="36"/>
  <c r="C158" i="36"/>
  <c r="D128" i="36"/>
  <c r="C122" i="36"/>
  <c r="C79" i="36"/>
  <c r="C78" i="36"/>
  <c r="C73" i="36"/>
  <c r="C71" i="36"/>
  <c r="D53" i="36"/>
  <c r="C53" i="36"/>
  <c r="C11" i="36"/>
  <c r="E45" i="1"/>
  <c r="G45" i="1" s="1"/>
  <c r="E46" i="1"/>
  <c r="G46" i="1" s="1"/>
  <c r="E43" i="1"/>
  <c r="C121" i="36" s="1"/>
  <c r="D145" i="36" s="1"/>
  <c r="E47" i="1"/>
  <c r="E25" i="36" s="1"/>
  <c r="E48" i="1"/>
  <c r="G48" i="1" s="1"/>
  <c r="E27" i="37" s="1"/>
  <c r="E49" i="1"/>
  <c r="E50" i="1"/>
  <c r="C123" i="36" s="1"/>
  <c r="E51" i="1"/>
  <c r="G51" i="1" s="1"/>
  <c r="E52" i="1"/>
  <c r="G52" i="1" s="1"/>
  <c r="C12" i="37" s="1"/>
  <c r="G12" i="1"/>
  <c r="E15" i="1"/>
  <c r="G17" i="1"/>
  <c r="C166" i="36"/>
  <c r="C236" i="36"/>
  <c r="C175" i="36"/>
  <c r="C169" i="37"/>
  <c r="C242" i="36"/>
  <c r="C172" i="36"/>
  <c r="C168" i="37"/>
  <c r="C187" i="36"/>
  <c r="C243" i="36"/>
  <c r="C177" i="36"/>
  <c r="C188" i="36"/>
  <c r="C178" i="36"/>
  <c r="C179" i="36"/>
  <c r="C180" i="37"/>
  <c r="J154" i="49" l="1"/>
  <c r="D154" i="49"/>
  <c r="K154" i="49"/>
  <c r="E154" i="49"/>
  <c r="K154" i="51"/>
  <c r="E154" i="51"/>
  <c r="J154" i="51"/>
  <c r="D154" i="51"/>
  <c r="E154" i="42"/>
  <c r="K154" i="42"/>
  <c r="J154" i="42"/>
  <c r="D154" i="42"/>
  <c r="F19" i="8"/>
  <c r="C249" i="37"/>
  <c r="D193" i="37"/>
  <c r="G6" i="49"/>
  <c r="H6" i="49"/>
  <c r="C25" i="36"/>
  <c r="D25" i="36"/>
  <c r="H5" i="49"/>
  <c r="G5" i="49"/>
  <c r="C214" i="36"/>
  <c r="H5" i="51"/>
  <c r="G5" i="51"/>
  <c r="G6" i="51"/>
  <c r="H6" i="51"/>
  <c r="D207" i="37"/>
  <c r="C212" i="37" s="1"/>
  <c r="C120" i="42"/>
  <c r="F114" i="42" s="1"/>
  <c r="C16" i="1"/>
  <c r="D207" i="36"/>
  <c r="C212" i="36" s="1"/>
  <c r="C243" i="37"/>
  <c r="C238" i="36"/>
  <c r="C166" i="37"/>
  <c r="E27" i="36"/>
  <c r="C119" i="37"/>
  <c r="C180" i="36"/>
  <c r="C213" i="36"/>
  <c r="G47" i="1"/>
  <c r="L41" i="8"/>
  <c r="C168" i="36"/>
  <c r="C244" i="37"/>
  <c r="D188" i="37"/>
  <c r="C214" i="37"/>
  <c r="C213" i="37"/>
  <c r="C169" i="36"/>
  <c r="C244" i="36"/>
  <c r="G50" i="1"/>
  <c r="C10" i="36"/>
  <c r="G15" i="1"/>
  <c r="G49" i="1"/>
  <c r="G43" i="1"/>
  <c r="C129" i="36"/>
  <c r="C130" i="36" s="1"/>
  <c r="C134" i="36" s="1"/>
  <c r="C12" i="36"/>
  <c r="C157" i="36"/>
  <c r="F41" i="8"/>
  <c r="E26" i="36"/>
  <c r="E28" i="36"/>
  <c r="D129" i="36"/>
  <c r="D130" i="36" s="1"/>
  <c r="D134" i="36" s="1"/>
  <c r="E29" i="36"/>
  <c r="D29" i="36" s="1"/>
  <c r="D37" i="36" s="1"/>
  <c r="C72" i="36"/>
  <c r="C82" i="36" s="1"/>
  <c r="C145" i="36"/>
  <c r="G42" i="1"/>
  <c r="D28" i="36" l="1"/>
  <c r="D44" i="36" s="1"/>
  <c r="C28" i="36"/>
  <c r="C215" i="36"/>
  <c r="C136" i="36"/>
  <c r="C137" i="36" s="1"/>
  <c r="C147" i="36" s="1"/>
  <c r="D136" i="36"/>
  <c r="D137" i="36" s="1"/>
  <c r="D147" i="36" s="1"/>
  <c r="C29" i="36"/>
  <c r="C37" i="36" s="1"/>
  <c r="D45" i="36"/>
  <c r="D33" i="36"/>
  <c r="D41" i="36"/>
  <c r="C32" i="8"/>
  <c r="C41" i="36"/>
  <c r="C33" i="36"/>
  <c r="I32" i="8"/>
  <c r="I18" i="8"/>
  <c r="C18" i="8"/>
  <c r="E25" i="37"/>
  <c r="C131" i="36"/>
  <c r="C139" i="36" s="1"/>
  <c r="H114" i="42"/>
  <c r="F116" i="42"/>
  <c r="G114" i="42"/>
  <c r="F115" i="42"/>
  <c r="D131" i="36"/>
  <c r="D139" i="36" s="1"/>
  <c r="C187" i="37"/>
  <c r="C172" i="37"/>
  <c r="E26" i="37"/>
  <c r="C186" i="37"/>
  <c r="C242" i="37"/>
  <c r="C179" i="37"/>
  <c r="C188" i="37"/>
  <c r="C123" i="37"/>
  <c r="E28" i="37"/>
  <c r="C120" i="37"/>
  <c r="C177" i="37"/>
  <c r="C178" i="37"/>
  <c r="C215" i="37"/>
  <c r="D54" i="36"/>
  <c r="D56" i="36" s="1"/>
  <c r="C54" i="36"/>
  <c r="C72" i="37"/>
  <c r="C82" i="37" s="1"/>
  <c r="C157" i="37"/>
  <c r="C238" i="37"/>
  <c r="C121" i="37"/>
  <c r="C10" i="37"/>
  <c r="E29" i="37"/>
  <c r="C258" i="37"/>
  <c r="C229" i="37"/>
  <c r="E250" i="37" s="1"/>
  <c r="C203" i="37"/>
  <c r="C159" i="37"/>
  <c r="C70" i="37"/>
  <c r="C8" i="37"/>
  <c r="C118" i="37"/>
  <c r="C261" i="37"/>
  <c r="C236" i="37"/>
  <c r="D186" i="37"/>
  <c r="C258" i="36"/>
  <c r="C229" i="36"/>
  <c r="E249" i="36" s="1"/>
  <c r="C203" i="36"/>
  <c r="C159" i="36"/>
  <c r="E166" i="36" s="1"/>
  <c r="C70" i="36"/>
  <c r="C8" i="36"/>
  <c r="C118" i="36"/>
  <c r="C78" i="2"/>
  <c r="C119" i="36"/>
  <c r="D36" i="36" l="1"/>
  <c r="D30" i="36"/>
  <c r="D38" i="36" s="1"/>
  <c r="E4" i="1" s="1"/>
  <c r="D256" i="36"/>
  <c r="E28" i="8" s="1"/>
  <c r="D28" i="37"/>
  <c r="D44" i="37" s="1"/>
  <c r="C28" i="37"/>
  <c r="C44" i="36"/>
  <c r="C36" i="36"/>
  <c r="E186" i="36"/>
  <c r="G186" i="36" s="1"/>
  <c r="E194" i="36"/>
  <c r="G194" i="36" s="1"/>
  <c r="E193" i="36"/>
  <c r="G193" i="36" s="1"/>
  <c r="E193" i="37"/>
  <c r="G193" i="37" s="1"/>
  <c r="E194" i="37"/>
  <c r="G194" i="37" s="1"/>
  <c r="E250" i="36"/>
  <c r="D148" i="36"/>
  <c r="C30" i="36"/>
  <c r="C46" i="36" s="1"/>
  <c r="C45" i="36"/>
  <c r="I36" i="8"/>
  <c r="F63" i="1" s="1"/>
  <c r="L32" i="8"/>
  <c r="L36" i="8" s="1"/>
  <c r="C29" i="37"/>
  <c r="D29" i="37"/>
  <c r="D25" i="37"/>
  <c r="C25" i="37"/>
  <c r="O32" i="8"/>
  <c r="O36" i="8" s="1"/>
  <c r="F32" i="8"/>
  <c r="F36" i="8" s="1"/>
  <c r="C36" i="8"/>
  <c r="C22" i="8"/>
  <c r="D57" i="1" s="1"/>
  <c r="D60" i="1" s="1"/>
  <c r="O18" i="8"/>
  <c r="O22" i="8" s="1"/>
  <c r="F18" i="8"/>
  <c r="F22" i="8" s="1"/>
  <c r="I22" i="8"/>
  <c r="D63" i="1" s="1"/>
  <c r="L18" i="8"/>
  <c r="L22" i="8" s="1"/>
  <c r="E244" i="37"/>
  <c r="G116" i="42"/>
  <c r="H116" i="42"/>
  <c r="G115" i="42"/>
  <c r="H115" i="42"/>
  <c r="C129" i="37"/>
  <c r="D129" i="37"/>
  <c r="D58" i="36"/>
  <c r="F114" i="37"/>
  <c r="G114" i="37" s="1"/>
  <c r="E180" i="37"/>
  <c r="G180" i="37" s="1"/>
  <c r="E177" i="37"/>
  <c r="G177" i="37" s="1"/>
  <c r="E166" i="37"/>
  <c r="E179" i="37"/>
  <c r="G179" i="37" s="1"/>
  <c r="E178" i="37"/>
  <c r="G178" i="37" s="1"/>
  <c r="D54" i="37"/>
  <c r="C54" i="37"/>
  <c r="C220" i="37" s="1"/>
  <c r="D199" i="37" s="1"/>
  <c r="E186" i="37"/>
  <c r="G186" i="37" s="1"/>
  <c r="E249" i="37"/>
  <c r="D145" i="37"/>
  <c r="C145" i="37"/>
  <c r="C220" i="36"/>
  <c r="D199" i="36" s="1"/>
  <c r="C56" i="36"/>
  <c r="C58" i="36" s="1"/>
  <c r="C148" i="36"/>
  <c r="E236" i="37"/>
  <c r="D256" i="37"/>
  <c r="E188" i="37"/>
  <c r="G188" i="37" s="1"/>
  <c r="E236" i="36"/>
  <c r="E177" i="36"/>
  <c r="G177" i="36" s="1"/>
  <c r="E188" i="36"/>
  <c r="G188" i="36" s="1"/>
  <c r="E178" i="36"/>
  <c r="G178" i="36" s="1"/>
  <c r="E179" i="36"/>
  <c r="G179" i="36" s="1"/>
  <c r="E180" i="36"/>
  <c r="G180" i="36" s="1"/>
  <c r="E244" i="36"/>
  <c r="D36" i="37" l="1"/>
  <c r="D46" i="36"/>
  <c r="C44" i="37"/>
  <c r="C36" i="37"/>
  <c r="C38" i="36"/>
  <c r="C41" i="37"/>
  <c r="C30" i="37"/>
  <c r="C33" i="37"/>
  <c r="D37" i="37"/>
  <c r="D45" i="37"/>
  <c r="F57" i="1"/>
  <c r="F60" i="1" s="1"/>
  <c r="D30" i="37"/>
  <c r="D41" i="37"/>
  <c r="D33" i="37"/>
  <c r="C37" i="37"/>
  <c r="C45" i="37"/>
  <c r="D56" i="37"/>
  <c r="D58" i="37" s="1"/>
  <c r="K28" i="8"/>
  <c r="L28" i="8" s="1"/>
  <c r="H114" i="37"/>
  <c r="D254" i="36"/>
  <c r="C12" i="8"/>
  <c r="I12" i="8"/>
  <c r="L12" i="8" s="1"/>
  <c r="E16" i="1"/>
  <c r="F115" i="37"/>
  <c r="F116" i="37"/>
  <c r="H116" i="37" s="1"/>
  <c r="I40" i="8" s="1"/>
  <c r="D131" i="37"/>
  <c r="D139" i="37" s="1"/>
  <c r="D130" i="37"/>
  <c r="D134" i="37" s="1"/>
  <c r="D136" i="37" s="1"/>
  <c r="D137" i="37" s="1"/>
  <c r="D147" i="37" s="1"/>
  <c r="D148" i="37" s="1"/>
  <c r="G6" i="1"/>
  <c r="C130" i="37"/>
  <c r="C134" i="37" s="1"/>
  <c r="C136" i="37" s="1"/>
  <c r="C137" i="37" s="1"/>
  <c r="C147" i="37" s="1"/>
  <c r="C148" i="37" s="1"/>
  <c r="C131" i="37"/>
  <c r="C139" i="37" s="1"/>
  <c r="D200" i="36"/>
  <c r="D201" i="36"/>
  <c r="D200" i="37"/>
  <c r="D201" i="37"/>
  <c r="C56" i="37"/>
  <c r="C58" i="37" s="1"/>
  <c r="G166" i="37"/>
  <c r="G166" i="36"/>
  <c r="E29" i="8"/>
  <c r="E59" i="1" s="1"/>
  <c r="F28" i="8"/>
  <c r="C254" i="36" l="1"/>
  <c r="E254" i="36"/>
  <c r="C38" i="37"/>
  <c r="C46" i="37"/>
  <c r="D38" i="37"/>
  <c r="G4" i="1" s="1"/>
  <c r="D46" i="37"/>
  <c r="K29" i="8"/>
  <c r="E65" i="1" s="1"/>
  <c r="E18" i="1"/>
  <c r="D255" i="36"/>
  <c r="G116" i="37"/>
  <c r="O12" i="8"/>
  <c r="F12" i="8"/>
  <c r="G115" i="37"/>
  <c r="H115" i="37"/>
  <c r="D254" i="37"/>
  <c r="E42" i="8"/>
  <c r="K42" i="8"/>
  <c r="C254" i="37" l="1"/>
  <c r="D255" i="37" s="1"/>
  <c r="E254" i="37"/>
  <c r="C255" i="36"/>
  <c r="E255" i="36"/>
  <c r="C9" i="37"/>
  <c r="F4" i="37" s="1"/>
  <c r="H4" i="37" s="1"/>
  <c r="G16" i="1"/>
  <c r="G18" i="1" s="1"/>
  <c r="C40" i="8"/>
  <c r="O40" i="8" s="1"/>
  <c r="J40" i="8"/>
  <c r="D40" i="8"/>
  <c r="L42" i="8"/>
  <c r="K43" i="8"/>
  <c r="E43" i="8"/>
  <c r="G59" i="1" s="1"/>
  <c r="F42" i="8"/>
  <c r="D26" i="8"/>
  <c r="J26" i="8"/>
  <c r="C255" i="37" l="1"/>
  <c r="E255" i="37"/>
  <c r="G4" i="37"/>
  <c r="F6" i="37"/>
  <c r="G6" i="37" s="1"/>
  <c r="F5" i="37"/>
  <c r="G65" i="1"/>
  <c r="L40" i="8"/>
  <c r="F40" i="8"/>
  <c r="G5" i="37" l="1"/>
  <c r="H6" i="37"/>
  <c r="I39" i="8" s="1"/>
  <c r="I43" i="8" s="1"/>
  <c r="H5" i="37"/>
  <c r="C39" i="8"/>
  <c r="G63" i="1" l="1"/>
  <c r="O39" i="8"/>
  <c r="O43" i="8" s="1"/>
  <c r="C43" i="8"/>
  <c r="G57" i="1" s="1"/>
  <c r="C12" i="2"/>
  <c r="D206" i="2"/>
  <c r="E93" i="2"/>
  <c r="O93" i="2" l="1"/>
  <c r="K93" i="2"/>
  <c r="C93" i="2"/>
  <c r="O94" i="2"/>
  <c r="K94" i="2"/>
  <c r="D93" i="2"/>
  <c r="C95" i="2"/>
  <c r="D106" i="2" s="1"/>
  <c r="D109" i="2" s="1"/>
  <c r="C94" i="2"/>
  <c r="D105" i="2" s="1"/>
  <c r="D108" i="2" s="1"/>
  <c r="C241" i="37"/>
  <c r="E237" i="37" s="1"/>
  <c r="D227" i="37" s="1"/>
  <c r="C170" i="37"/>
  <c r="C171" i="37" s="1"/>
  <c r="C173" i="37" s="1"/>
  <c r="C174" i="37" s="1"/>
  <c r="C170" i="36"/>
  <c r="C171" i="36" s="1"/>
  <c r="C173" i="36" s="1"/>
  <c r="C174" i="36" s="1"/>
  <c r="C241" i="36"/>
  <c r="E237" i="36" s="1"/>
  <c r="D227" i="36" s="1"/>
  <c r="C214" i="2"/>
  <c r="D104" i="2" l="1"/>
  <c r="D107" i="2" s="1"/>
  <c r="E167" i="37"/>
  <c r="E187" i="37"/>
  <c r="G187" i="37" s="1"/>
  <c r="E167" i="36"/>
  <c r="E187" i="36"/>
  <c r="G187" i="36" s="1"/>
  <c r="D53" i="2"/>
  <c r="C53" i="2"/>
  <c r="F155" i="37" l="1"/>
  <c r="G167" i="36"/>
  <c r="F155" i="36"/>
  <c r="G167" i="37"/>
  <c r="C120" i="36"/>
  <c r="F114" i="36" s="1"/>
  <c r="D226" i="37" l="1"/>
  <c r="H155" i="37"/>
  <c r="G155" i="37"/>
  <c r="F115" i="36"/>
  <c r="F116" i="36"/>
  <c r="G114" i="36"/>
  <c r="H114" i="36"/>
  <c r="D27" i="8"/>
  <c r="J27" i="8"/>
  <c r="G155" i="36"/>
  <c r="H155" i="36"/>
  <c r="D226" i="36"/>
  <c r="D128" i="2"/>
  <c r="C67" i="14"/>
  <c r="C11" i="14"/>
  <c r="C10" i="14"/>
  <c r="C161" i="2"/>
  <c r="C240" i="2"/>
  <c r="C239" i="2"/>
  <c r="C160" i="2"/>
  <c r="C260" i="2"/>
  <c r="C231" i="2"/>
  <c r="C73" i="2"/>
  <c r="C158" i="2"/>
  <c r="C122" i="2"/>
  <c r="C71" i="2"/>
  <c r="C11" i="2"/>
  <c r="C10" i="2"/>
  <c r="C72" i="2"/>
  <c r="C121" i="2"/>
  <c r="C157" i="2"/>
  <c r="C238" i="2"/>
  <c r="B5" i="16"/>
  <c r="C14" i="14"/>
  <c r="C226" i="37" l="1"/>
  <c r="E226" i="37"/>
  <c r="E226" i="36"/>
  <c r="C226" i="36"/>
  <c r="F35" i="2"/>
  <c r="F34" i="2"/>
  <c r="C25" i="2"/>
  <c r="F154" i="37"/>
  <c r="H153" i="37"/>
  <c r="G153" i="37"/>
  <c r="C27" i="8"/>
  <c r="H116" i="36"/>
  <c r="G116" i="36"/>
  <c r="F154" i="36"/>
  <c r="G153" i="36"/>
  <c r="H153" i="36"/>
  <c r="I27" i="8"/>
  <c r="L27" i="8" s="1"/>
  <c r="G115" i="36"/>
  <c r="H115" i="36"/>
  <c r="C213" i="2"/>
  <c r="C215" i="2" s="1"/>
  <c r="D135" i="2"/>
  <c r="C54" i="2"/>
  <c r="C220" i="2" s="1"/>
  <c r="E29" i="2"/>
  <c r="D29" i="2" s="1"/>
  <c r="D45" i="2" s="1"/>
  <c r="E28" i="2"/>
  <c r="E26" i="2"/>
  <c r="E27" i="2"/>
  <c r="E103" i="2"/>
  <c r="K153" i="37" l="1"/>
  <c r="E153" i="37"/>
  <c r="C154" i="37"/>
  <c r="I154" i="37"/>
  <c r="J153" i="37"/>
  <c r="D153" i="37"/>
  <c r="C154" i="36"/>
  <c r="I154" i="36"/>
  <c r="K153" i="36"/>
  <c r="E153" i="36"/>
  <c r="J153" i="36"/>
  <c r="D153" i="36"/>
  <c r="I34" i="2"/>
  <c r="H34" i="2"/>
  <c r="G34" i="2"/>
  <c r="G35" i="2"/>
  <c r="H35" i="2"/>
  <c r="I35" i="2"/>
  <c r="D28" i="2"/>
  <c r="D44" i="2" s="1"/>
  <c r="C28" i="2"/>
  <c r="C41" i="2"/>
  <c r="C33" i="2"/>
  <c r="D25" i="2"/>
  <c r="C29" i="2"/>
  <c r="C30" i="2" s="1"/>
  <c r="H154" i="37"/>
  <c r="G154" i="37"/>
  <c r="I26" i="8"/>
  <c r="L26" i="8" s="1"/>
  <c r="C26" i="8"/>
  <c r="O27" i="8"/>
  <c r="F27" i="8"/>
  <c r="G154" i="36"/>
  <c r="H154" i="36"/>
  <c r="D54" i="2"/>
  <c r="C55" i="14"/>
  <c r="C54" i="14"/>
  <c r="C52" i="14"/>
  <c r="C38" i="14"/>
  <c r="C37" i="14"/>
  <c r="C26" i="14"/>
  <c r="C49" i="14"/>
  <c r="C36" i="14"/>
  <c r="C23" i="14"/>
  <c r="C9" i="14"/>
  <c r="D14" i="14" s="1"/>
  <c r="C65" i="14"/>
  <c r="D63" i="14" s="1"/>
  <c r="C48" i="14"/>
  <c r="C35" i="14"/>
  <c r="C22" i="14"/>
  <c r="C8" i="14"/>
  <c r="C258" i="2"/>
  <c r="C243" i="2"/>
  <c r="C242" i="2"/>
  <c r="C229" i="2"/>
  <c r="E250" i="2" s="1"/>
  <c r="F250" i="2" s="1"/>
  <c r="D199" i="2"/>
  <c r="C203" i="2"/>
  <c r="C8" i="2"/>
  <c r="C70" i="2"/>
  <c r="C118" i="2"/>
  <c r="C159" i="2"/>
  <c r="J154" i="37" l="1"/>
  <c r="D154" i="37"/>
  <c r="E154" i="37"/>
  <c r="K154" i="37"/>
  <c r="E154" i="36"/>
  <c r="K154" i="36"/>
  <c r="J154" i="36"/>
  <c r="D154" i="36"/>
  <c r="J35" i="2"/>
  <c r="K35" i="2"/>
  <c r="K34" i="2"/>
  <c r="J34" i="2"/>
  <c r="D30" i="2"/>
  <c r="D38" i="2" s="1"/>
  <c r="C44" i="2"/>
  <c r="C36" i="2"/>
  <c r="E193" i="2"/>
  <c r="F193" i="2" s="1"/>
  <c r="G193" i="2" s="1"/>
  <c r="E194" i="2"/>
  <c r="F194" i="2" s="1"/>
  <c r="G194" i="2" s="1"/>
  <c r="C45" i="2"/>
  <c r="C37" i="2"/>
  <c r="C38" i="2"/>
  <c r="C40" i="14"/>
  <c r="D40" i="14" s="1"/>
  <c r="C57" i="14"/>
  <c r="D57" i="14" s="1"/>
  <c r="O26" i="8"/>
  <c r="F26" i="8"/>
  <c r="D201" i="2"/>
  <c r="E199" i="2"/>
  <c r="C199" i="2"/>
  <c r="D200" i="2"/>
  <c r="E200" i="2" s="1"/>
  <c r="C200" i="2" s="1"/>
  <c r="F4" i="14"/>
  <c r="D52" i="14"/>
  <c r="D26" i="14"/>
  <c r="D46" i="2" l="1"/>
  <c r="F38" i="2"/>
  <c r="C46" i="2"/>
  <c r="D33" i="2"/>
  <c r="F33" i="2" s="1"/>
  <c r="D41" i="2"/>
  <c r="C9" i="42"/>
  <c r="F4" i="42" s="1"/>
  <c r="C9" i="36"/>
  <c r="C4" i="14"/>
  <c r="I4" i="14"/>
  <c r="E201" i="2"/>
  <c r="C201" i="2"/>
  <c r="D18" i="14"/>
  <c r="D44" i="14"/>
  <c r="D31" i="14"/>
  <c r="H4" i="14"/>
  <c r="G4" i="14"/>
  <c r="J4" i="14" s="1"/>
  <c r="D4" i="14" s="1"/>
  <c r="F5" i="14"/>
  <c r="C5" i="14" s="1"/>
  <c r="F6" i="14"/>
  <c r="C6" i="14" s="1"/>
  <c r="F4" i="36" l="1"/>
  <c r="F6" i="36" s="1"/>
  <c r="G6" i="36" s="1"/>
  <c r="G33" i="2"/>
  <c r="I33" i="2"/>
  <c r="I38" i="2"/>
  <c r="G38" i="2"/>
  <c r="H38" i="2"/>
  <c r="H33" i="2"/>
  <c r="J4" i="1"/>
  <c r="G4" i="42"/>
  <c r="F5" i="42"/>
  <c r="H4" i="42"/>
  <c r="F6" i="42"/>
  <c r="E4" i="14"/>
  <c r="K4" i="14"/>
  <c r="C31" i="14"/>
  <c r="E31" i="14"/>
  <c r="E44" i="14"/>
  <c r="C44" i="14"/>
  <c r="D46" i="14" s="1"/>
  <c r="E46" i="14" s="1"/>
  <c r="C46" i="14" s="1"/>
  <c r="C18" i="14"/>
  <c r="E18" i="14"/>
  <c r="I6" i="14"/>
  <c r="H6" i="14"/>
  <c r="G6" i="14"/>
  <c r="J6" i="14" s="1"/>
  <c r="D6" i="14" s="1"/>
  <c r="I5" i="14"/>
  <c r="G5" i="14"/>
  <c r="J5" i="14" s="1"/>
  <c r="D5" i="14" s="1"/>
  <c r="H5" i="14"/>
  <c r="D33" i="14"/>
  <c r="D32" i="14"/>
  <c r="D19" i="14"/>
  <c r="D20" i="14"/>
  <c r="C244" i="2"/>
  <c r="C236" i="2"/>
  <c r="F5" i="36" l="1"/>
  <c r="G5" i="36" s="1"/>
  <c r="H4" i="36"/>
  <c r="H6" i="36"/>
  <c r="G4" i="36"/>
  <c r="K38" i="2"/>
  <c r="J38" i="2"/>
  <c r="J33" i="2"/>
  <c r="K33" i="2"/>
  <c r="C18" i="1"/>
  <c r="D45" i="14"/>
  <c r="E45" i="14" s="1"/>
  <c r="C45" i="14" s="1"/>
  <c r="H6" i="42"/>
  <c r="G6" i="42"/>
  <c r="G5" i="42"/>
  <c r="H5" i="42"/>
  <c r="C25" i="8"/>
  <c r="C29" i="8" s="1"/>
  <c r="C32" i="14"/>
  <c r="E32" i="14"/>
  <c r="E33" i="14"/>
  <c r="C33" i="14"/>
  <c r="J47" i="8" s="1"/>
  <c r="K5" i="14"/>
  <c r="E5" i="14"/>
  <c r="E20" i="14"/>
  <c r="C20" i="14"/>
  <c r="E6" i="14"/>
  <c r="K6" i="14"/>
  <c r="C19" i="14"/>
  <c r="E19" i="14"/>
  <c r="D188" i="2"/>
  <c r="D186" i="2"/>
  <c r="C187" i="2"/>
  <c r="C188" i="2"/>
  <c r="C186" i="2"/>
  <c r="C249" i="2"/>
  <c r="C168" i="2"/>
  <c r="C172" i="2"/>
  <c r="C169" i="2"/>
  <c r="C175" i="2"/>
  <c r="C177" i="2"/>
  <c r="E177" i="2" s="1"/>
  <c r="C178" i="2"/>
  <c r="E178" i="2" s="1"/>
  <c r="C179" i="2"/>
  <c r="E179" i="2" s="1"/>
  <c r="F179" i="2" s="1"/>
  <c r="G179" i="2" s="1"/>
  <c r="C180" i="2"/>
  <c r="E180" i="2" s="1"/>
  <c r="F180" i="2" s="1"/>
  <c r="G180" i="2" s="1"/>
  <c r="C166" i="2"/>
  <c r="E166" i="2" s="1"/>
  <c r="C218" i="2"/>
  <c r="C219" i="2"/>
  <c r="C217" i="2"/>
  <c r="C80" i="2"/>
  <c r="C79" i="2"/>
  <c r="C205" i="2"/>
  <c r="I25" i="8" l="1"/>
  <c r="I29" i="8" s="1"/>
  <c r="H5" i="36"/>
  <c r="F177" i="2"/>
  <c r="G177" i="2" s="1"/>
  <c r="F178" i="2"/>
  <c r="G178" i="2" s="1"/>
  <c r="F166" i="2"/>
  <c r="G166" i="2" s="1"/>
  <c r="D207" i="2"/>
  <c r="C212" i="2" s="1"/>
  <c r="I11" i="8"/>
  <c r="C11" i="8"/>
  <c r="D47" i="8"/>
  <c r="O25" i="8"/>
  <c r="O29" i="8" s="1"/>
  <c r="E57" i="1"/>
  <c r="J46" i="8"/>
  <c r="D46" i="8"/>
  <c r="C82" i="2"/>
  <c r="C81" i="2"/>
  <c r="C241" i="2"/>
  <c r="E237" i="2" s="1"/>
  <c r="F237" i="2" s="1"/>
  <c r="C170" i="2"/>
  <c r="C171" i="2" s="1"/>
  <c r="C173" i="2" s="1"/>
  <c r="C174" i="2" s="1"/>
  <c r="E167" i="2" s="1"/>
  <c r="C261" i="2"/>
  <c r="D256" i="2" s="1"/>
  <c r="E256" i="2" s="1"/>
  <c r="C256" i="2" s="1"/>
  <c r="E188" i="2"/>
  <c r="F188" i="2" s="1"/>
  <c r="G188" i="2" s="1"/>
  <c r="E186" i="2"/>
  <c r="F167" i="2" l="1"/>
  <c r="G167" i="2" s="1"/>
  <c r="D254" i="2"/>
  <c r="O80" i="2"/>
  <c r="P99" i="2" s="1"/>
  <c r="C85" i="2"/>
  <c r="B8" i="1" s="1"/>
  <c r="C69" i="2" s="1"/>
  <c r="C77" i="2" s="1"/>
  <c r="C83" i="2"/>
  <c r="B6" i="1" s="1"/>
  <c r="C67" i="2" s="1"/>
  <c r="C75" i="2" s="1"/>
  <c r="C84" i="2"/>
  <c r="B7" i="1" s="1"/>
  <c r="C68" i="2" s="1"/>
  <c r="C76" i="2" s="1"/>
  <c r="E63" i="1"/>
  <c r="K80" i="2"/>
  <c r="L93" i="2" s="1"/>
  <c r="I15" i="8"/>
  <c r="O11" i="8"/>
  <c r="O15" i="8" s="1"/>
  <c r="C15" i="8"/>
  <c r="F186" i="2"/>
  <c r="G186" i="2" s="1"/>
  <c r="E63" i="14"/>
  <c r="C63" i="14" s="1"/>
  <c r="D61" i="14" s="1"/>
  <c r="K7" i="8"/>
  <c r="E7" i="8"/>
  <c r="E244" i="2"/>
  <c r="F244" i="2" s="1"/>
  <c r="E236" i="2"/>
  <c r="F236" i="2" s="1"/>
  <c r="E249" i="2"/>
  <c r="E187" i="2"/>
  <c r="F187" i="2" s="1"/>
  <c r="G187" i="2" s="1"/>
  <c r="E254" i="2" l="1"/>
  <c r="C254" i="2" s="1"/>
  <c r="D255" i="2" s="1"/>
  <c r="D63" i="2"/>
  <c r="L99" i="2"/>
  <c r="P97" i="2"/>
  <c r="P94" i="2"/>
  <c r="P98" i="2"/>
  <c r="P95" i="2"/>
  <c r="P96" i="2"/>
  <c r="P93" i="2"/>
  <c r="L100" i="2"/>
  <c r="L102" i="2"/>
  <c r="F155" i="2"/>
  <c r="I155" i="2" s="1"/>
  <c r="C155" i="2" s="1"/>
  <c r="D227" i="2"/>
  <c r="C63" i="1"/>
  <c r="C57" i="1"/>
  <c r="L94" i="2"/>
  <c r="L103" i="2"/>
  <c r="L96" i="2"/>
  <c r="L97" i="2"/>
  <c r="K103" i="2"/>
  <c r="F249" i="2"/>
  <c r="E61" i="14"/>
  <c r="C61" i="14" s="1"/>
  <c r="D62" i="14" s="1"/>
  <c r="E62" i="14" s="1"/>
  <c r="C62" i="14" s="1"/>
  <c r="K49" i="8"/>
  <c r="E49" i="8"/>
  <c r="D145" i="2"/>
  <c r="C123" i="2"/>
  <c r="D129" i="2" s="1"/>
  <c r="D130" i="2" s="1"/>
  <c r="D134" i="2" s="1"/>
  <c r="F47" i="8"/>
  <c r="L47" i="8"/>
  <c r="D37" i="2"/>
  <c r="F37" i="2" s="1"/>
  <c r="C56" i="2"/>
  <c r="C58" i="2" s="1"/>
  <c r="D36" i="2"/>
  <c r="F36" i="2" s="1"/>
  <c r="E255" i="2" l="1"/>
  <c r="C255" i="2" s="1"/>
  <c r="I37" i="2"/>
  <c r="H37" i="2"/>
  <c r="G37" i="2"/>
  <c r="I36" i="2"/>
  <c r="G36" i="2"/>
  <c r="H36" i="2"/>
  <c r="O104" i="2"/>
  <c r="O107" i="2" s="1"/>
  <c r="O83" i="2" s="1"/>
  <c r="K105" i="2"/>
  <c r="K108" i="2" s="1"/>
  <c r="K84" i="2" s="1"/>
  <c r="D136" i="2"/>
  <c r="D137" i="2" s="1"/>
  <c r="D147" i="2" s="1"/>
  <c r="D148" i="2" s="1"/>
  <c r="B14" i="1"/>
  <c r="B15" i="1" s="1"/>
  <c r="C120" i="2" s="1"/>
  <c r="B11" i="1"/>
  <c r="B12" i="1" s="1"/>
  <c r="B16" i="1" s="1"/>
  <c r="B18" i="1" s="1"/>
  <c r="O106" i="2"/>
  <c r="D64" i="2"/>
  <c r="D65" i="2"/>
  <c r="K104" i="2"/>
  <c r="O105" i="2"/>
  <c r="G155" i="2"/>
  <c r="J155" i="2" s="1"/>
  <c r="D155" i="2" s="1"/>
  <c r="C67" i="36"/>
  <c r="C75" i="36" s="1"/>
  <c r="D63" i="36" s="1"/>
  <c r="C67" i="42"/>
  <c r="H155" i="2"/>
  <c r="K155" i="2" s="1"/>
  <c r="E155" i="2" s="1"/>
  <c r="F153" i="2"/>
  <c r="G153" i="2" s="1"/>
  <c r="J153" i="2" s="1"/>
  <c r="D153" i="2" s="1"/>
  <c r="E227" i="2"/>
  <c r="C227" i="2" s="1"/>
  <c r="D225" i="2"/>
  <c r="D131" i="2"/>
  <c r="D139" i="2" s="1"/>
  <c r="C6" i="8"/>
  <c r="O6" i="8" s="1"/>
  <c r="C129" i="2"/>
  <c r="C145" i="2"/>
  <c r="D5" i="8"/>
  <c r="J5" i="8"/>
  <c r="D56" i="2"/>
  <c r="D58" i="2" s="1"/>
  <c r="K37" i="2" l="1"/>
  <c r="J37" i="2"/>
  <c r="K36" i="2"/>
  <c r="J36" i="2"/>
  <c r="C119" i="2"/>
  <c r="F114" i="2" s="1"/>
  <c r="H114" i="2" s="1"/>
  <c r="K114" i="2" s="1"/>
  <c r="E114" i="2" s="1"/>
  <c r="D6" i="8"/>
  <c r="I6" i="8"/>
  <c r="O109" i="2"/>
  <c r="O85" i="2" s="1"/>
  <c r="K107" i="2"/>
  <c r="K83" i="2" s="1"/>
  <c r="O108" i="2"/>
  <c r="O84" i="2" s="1"/>
  <c r="C75" i="42"/>
  <c r="D63" i="42" s="1"/>
  <c r="D64" i="42" s="1"/>
  <c r="C67" i="37"/>
  <c r="C75" i="37" s="1"/>
  <c r="D63" i="37" s="1"/>
  <c r="D64" i="36"/>
  <c r="D65" i="36"/>
  <c r="F154" i="2"/>
  <c r="H154" i="2" s="1"/>
  <c r="K154" i="2" s="1"/>
  <c r="E154" i="2" s="1"/>
  <c r="J6" i="8"/>
  <c r="H153" i="2"/>
  <c r="K153" i="2" s="1"/>
  <c r="E153" i="2" s="1"/>
  <c r="I153" i="2"/>
  <c r="C153" i="2" s="1"/>
  <c r="E225" i="2"/>
  <c r="C225" i="2" s="1"/>
  <c r="D226" i="2"/>
  <c r="E226" i="2" s="1"/>
  <c r="C226" i="2" s="1"/>
  <c r="C131" i="2"/>
  <c r="C139" i="2" s="1"/>
  <c r="C130" i="2"/>
  <c r="C134" i="2" s="1"/>
  <c r="C136" i="2" s="1"/>
  <c r="C137" i="2" s="1"/>
  <c r="C147" i="2" s="1"/>
  <c r="C148" i="2" s="1"/>
  <c r="F6" i="8"/>
  <c r="K8" i="8"/>
  <c r="E8" i="8"/>
  <c r="B59" i="1" s="1"/>
  <c r="L49" i="8"/>
  <c r="E50" i="8"/>
  <c r="B23" i="15" s="1"/>
  <c r="L6" i="8" l="1"/>
  <c r="I114" i="2"/>
  <c r="C114" i="2" s="1"/>
  <c r="G114" i="2"/>
  <c r="J114" i="2" s="1"/>
  <c r="D114" i="2" s="1"/>
  <c r="F116" i="2"/>
  <c r="H116" i="2" s="1"/>
  <c r="K116" i="2" s="1"/>
  <c r="E116" i="2" s="1"/>
  <c r="F115" i="2"/>
  <c r="I115" i="2" s="1"/>
  <c r="C115" i="2" s="1"/>
  <c r="D65" i="42"/>
  <c r="E63" i="2"/>
  <c r="C63" i="2" s="1"/>
  <c r="E65" i="2"/>
  <c r="C65" i="2" s="1"/>
  <c r="E64" i="2"/>
  <c r="C64" i="2" s="1"/>
  <c r="B65" i="1"/>
  <c r="I154" i="2"/>
  <c r="C154" i="2" s="1"/>
  <c r="G154" i="2"/>
  <c r="J154" i="2" s="1"/>
  <c r="D65" i="37"/>
  <c r="D64" i="37"/>
  <c r="F49" i="8"/>
  <c r="L7" i="8"/>
  <c r="F7" i="8"/>
  <c r="K50" i="8"/>
  <c r="J4" i="8" l="1"/>
  <c r="J8" i="8" s="1"/>
  <c r="I5" i="8"/>
  <c r="L5" i="8" s="1"/>
  <c r="G115" i="2"/>
  <c r="J115" i="2" s="1"/>
  <c r="D115" i="2" s="1"/>
  <c r="G116" i="2"/>
  <c r="J116" i="2" s="1"/>
  <c r="D116" i="2" s="1"/>
  <c r="C116" i="2"/>
  <c r="I116" i="2"/>
  <c r="H115" i="2"/>
  <c r="K115" i="2" s="1"/>
  <c r="E115" i="2" s="1"/>
  <c r="D11" i="8"/>
  <c r="D15" i="8" s="1"/>
  <c r="D4" i="8"/>
  <c r="D8" i="8" s="1"/>
  <c r="B58" i="1" s="1"/>
  <c r="C9" i="2"/>
  <c r="F4" i="2" s="1"/>
  <c r="B29" i="15"/>
  <c r="D154" i="2"/>
  <c r="J25" i="8"/>
  <c r="D25" i="8"/>
  <c r="B64" i="1" l="1"/>
  <c r="G4" i="2"/>
  <c r="F5" i="2"/>
  <c r="C5" i="8"/>
  <c r="O5" i="8" s="1"/>
  <c r="F6" i="2"/>
  <c r="C6" i="2" s="1"/>
  <c r="F11" i="8"/>
  <c r="F15" i="8" s="1"/>
  <c r="J11" i="8"/>
  <c r="J15" i="8" s="1"/>
  <c r="C58" i="1"/>
  <c r="C60" i="1" s="1"/>
  <c r="C4" i="2"/>
  <c r="D29" i="8"/>
  <c r="E58" i="1" s="1"/>
  <c r="E60" i="1" s="1"/>
  <c r="F25" i="8"/>
  <c r="F29" i="8" s="1"/>
  <c r="D39" i="8"/>
  <c r="J39" i="8"/>
  <c r="J29" i="8"/>
  <c r="L25" i="8"/>
  <c r="L29" i="8" s="1"/>
  <c r="I4" i="2"/>
  <c r="H4" i="2"/>
  <c r="F5" i="8" l="1"/>
  <c r="C64" i="1"/>
  <c r="C66" i="1" s="1"/>
  <c r="L11" i="8"/>
  <c r="L15" i="8" s="1"/>
  <c r="E64" i="1"/>
  <c r="J43" i="8"/>
  <c r="L39" i="8"/>
  <c r="L43" i="8" s="1"/>
  <c r="D43" i="8"/>
  <c r="G58" i="1" s="1"/>
  <c r="G60" i="1" s="1"/>
  <c r="F39" i="8"/>
  <c r="F43" i="8" s="1"/>
  <c r="G6" i="2"/>
  <c r="H6" i="2"/>
  <c r="G5" i="2"/>
  <c r="H5" i="2"/>
  <c r="I5" i="2"/>
  <c r="C5" i="2" s="1"/>
  <c r="G64" i="1" l="1"/>
  <c r="J5" i="2"/>
  <c r="D5" i="2" s="1"/>
  <c r="K5" i="2"/>
  <c r="E5" i="2" s="1"/>
  <c r="I6" i="2" l="1"/>
  <c r="J6" i="2" l="1"/>
  <c r="D6" i="2" s="1"/>
  <c r="K6" i="2"/>
  <c r="E6" i="2" s="1"/>
  <c r="I4" i="8" l="1"/>
  <c r="I8" i="8" s="1"/>
  <c r="B63" i="1" s="1"/>
  <c r="B66" i="1" s="1"/>
  <c r="C4" i="8"/>
  <c r="O4" i="8" s="1"/>
  <c r="O8" i="8" s="1"/>
  <c r="F66" i="1"/>
  <c r="E66" i="1"/>
  <c r="G66" i="1"/>
  <c r="D66" i="1"/>
  <c r="J4" i="2"/>
  <c r="D4" i="2" s="1"/>
  <c r="K4" i="2"/>
  <c r="E4" i="2" s="1"/>
  <c r="D48" i="8"/>
  <c r="F48" i="8" s="1"/>
  <c r="J48" i="8"/>
  <c r="L48" i="8" s="1"/>
  <c r="L4" i="8" l="1"/>
  <c r="L8" i="8" s="1"/>
  <c r="F4" i="8"/>
  <c r="F8" i="8" s="1"/>
  <c r="C8" i="8"/>
  <c r="B57" i="1" s="1"/>
  <c r="B60" i="1" s="1"/>
  <c r="D50" i="8"/>
  <c r="B22" i="15" s="1"/>
  <c r="J50" i="8"/>
  <c r="I46" i="8"/>
  <c r="C46" i="8"/>
  <c r="O46" i="8" s="1"/>
  <c r="O50" i="8" s="1"/>
  <c r="B28" i="15" l="1"/>
  <c r="C50" i="8"/>
  <c r="B21" i="15" s="1"/>
  <c r="B24" i="15" s="1"/>
  <c r="F46" i="8"/>
  <c r="F50" i="8" s="1"/>
  <c r="L46" i="8"/>
  <c r="L50" i="8" s="1"/>
  <c r="I50" i="8"/>
  <c r="B27" i="15" l="1"/>
  <c r="B30" i="15" s="1"/>
</calcChain>
</file>

<file path=xl/sharedStrings.xml><?xml version="1.0" encoding="utf-8"?>
<sst xmlns="http://schemas.openxmlformats.org/spreadsheetml/2006/main" count="3527" uniqueCount="400">
  <si>
    <t>Segment</t>
  </si>
  <si>
    <t>Default Value</t>
  </si>
  <si>
    <t>Unit</t>
  </si>
  <si>
    <t>Source</t>
  </si>
  <si>
    <t>Oil Production</t>
  </si>
  <si>
    <t>%</t>
  </si>
  <si>
    <t>Oil and Gas Production</t>
  </si>
  <si>
    <t>Gas Production</t>
  </si>
  <si>
    <t>Alvarez 2018</t>
  </si>
  <si>
    <t>Gas Processing</t>
  </si>
  <si>
    <t>_</t>
  </si>
  <si>
    <t>Percent of throughput consumed as fuel</t>
  </si>
  <si>
    <t>Speed</t>
  </si>
  <si>
    <t>Boil off per day</t>
  </si>
  <si>
    <t>Percent of boil off gas leaked</t>
  </si>
  <si>
    <t>Lowell pg 20</t>
  </si>
  <si>
    <t>Note</t>
  </si>
  <si>
    <t>% of methane from production attributed to natural gas</t>
  </si>
  <si>
    <t>EDF/Alvarez 2018 (2015 emissions)</t>
  </si>
  <si>
    <t>Gathering</t>
  </si>
  <si>
    <t>Processing</t>
  </si>
  <si>
    <t>EPA Inventory (2018 emissions)</t>
  </si>
  <si>
    <t>Tg Methane</t>
  </si>
  <si>
    <t>Sum</t>
  </si>
  <si>
    <t>Heat content of gas</t>
  </si>
  <si>
    <t>btu/cf</t>
  </si>
  <si>
    <t>Natural Gas Delivered to Consumers (bcf)</t>
  </si>
  <si>
    <t>Natural Gas Exports (bcf)</t>
  </si>
  <si>
    <t>Domestic Consumers+Exports (bcf)</t>
  </si>
  <si>
    <t>Gross Gas Production (bcf)</t>
  </si>
  <si>
    <t>https://www.eia.gov/dnav/ng/ng_cons_sum_a_EPG0_vgt_mmcf_a.htm</t>
  </si>
  <si>
    <t>https://www.eia.gov/dnav/ng/NG_MOVE_STATE_DCU_NUS_A.htm</t>
  </si>
  <si>
    <t>https://www.eia.gov/dnav/ng/ng_prod_sum_a_EPG0_FGW_mmcf_a.htm</t>
  </si>
  <si>
    <t>Leak Rate</t>
  </si>
  <si>
    <t>General</t>
  </si>
  <si>
    <t>LNG</t>
  </si>
  <si>
    <t>CH4 percent of whole gas</t>
  </si>
  <si>
    <t>Category</t>
  </si>
  <si>
    <t>Bcf Methane</t>
  </si>
  <si>
    <t>Oil and Gas Production (with adjustment)</t>
  </si>
  <si>
    <t>Oil Production (with adjustment)</t>
  </si>
  <si>
    <t>Total Heat Content of Delivered Gas (mmbtu)</t>
  </si>
  <si>
    <t>Normalized Emissions</t>
  </si>
  <si>
    <t>Power Plant</t>
  </si>
  <si>
    <t>Heat Rate</t>
  </si>
  <si>
    <t>btu / kWh</t>
  </si>
  <si>
    <t>g CH4 / kWh</t>
  </si>
  <si>
    <t>g CH4 / mmbtu</t>
  </si>
  <si>
    <t>g CH4</t>
  </si>
  <si>
    <t>per mmbtu</t>
  </si>
  <si>
    <t>per MJ</t>
  </si>
  <si>
    <t>per kWh</t>
  </si>
  <si>
    <t>g CO2e (100 yr)</t>
  </si>
  <si>
    <t>g CO2e (20 yr)</t>
  </si>
  <si>
    <t>Life Cycle Phase</t>
  </si>
  <si>
    <t>Upstream CH4</t>
  </si>
  <si>
    <t>Upstream CO2</t>
  </si>
  <si>
    <t>Power Plant CO2</t>
  </si>
  <si>
    <t>Production</t>
  </si>
  <si>
    <t>Usage</t>
  </si>
  <si>
    <t>g CO2e/kWh (100 yr GWP)</t>
  </si>
  <si>
    <t>g CO2e/kWh (20 yr GWP)</t>
  </si>
  <si>
    <t>Total</t>
  </si>
  <si>
    <t>NETL 2016</t>
  </si>
  <si>
    <t>miles</t>
  </si>
  <si>
    <t>kg CO2 / mmbtu</t>
  </si>
  <si>
    <t>Carbon Coefficient</t>
  </si>
  <si>
    <t>kg C / mmbtu</t>
  </si>
  <si>
    <t>Carbon Dioxide Emission Coefficient</t>
  </si>
  <si>
    <t>kg carbon / mmbtu</t>
  </si>
  <si>
    <t>https://www.epa.gov/energy/greenhouse-gases-equivalencies-calculator-calculations-and-references</t>
  </si>
  <si>
    <t>g CO2</t>
  </si>
  <si>
    <t>A: NG Production CH4</t>
  </si>
  <si>
    <t>B: NG Production CO2</t>
  </si>
  <si>
    <t>C(ii): NG LNG Transportation CH4</t>
  </si>
  <si>
    <t>D(ii): NG LNG Transportation CO2</t>
  </si>
  <si>
    <t>E: NG Power Plant</t>
  </si>
  <si>
    <t>I: Coal Power Plant</t>
  </si>
  <si>
    <t>Tg CO2</t>
  </si>
  <si>
    <t>https://www.eia.gov/dnav/ng/ng_cons_sum_a_EPG0_vcl_mmcf_a.htm</t>
  </si>
  <si>
    <t>https://www.eia.gov/dnav/ng/ng_cons_sum_a_EPG0_VCF_mmcf_a.htm</t>
  </si>
  <si>
    <t>bcf</t>
  </si>
  <si>
    <t>Pipeline Fuel</t>
  </si>
  <si>
    <t>https://www.eia.gov/dnav/ng/ng_cons_sum_a_EPG0_vgp_mmcf_a.htm</t>
  </si>
  <si>
    <t>Transmission</t>
  </si>
  <si>
    <t>CO2 emissions per mile</t>
  </si>
  <si>
    <t>Tg</t>
  </si>
  <si>
    <t>Toggle</t>
  </si>
  <si>
    <t>Transmission Pipeline</t>
  </si>
  <si>
    <t>Coal Ocean Transport</t>
  </si>
  <si>
    <t>Yes</t>
  </si>
  <si>
    <t xml:space="preserve"> </t>
  </si>
  <si>
    <t>Fugitive CH4</t>
  </si>
  <si>
    <t>Fuel Use Slip CH4</t>
  </si>
  <si>
    <t>Liquefaction</t>
  </si>
  <si>
    <t>Shipping</t>
  </si>
  <si>
    <t>Regasification</t>
  </si>
  <si>
    <t>Storage Tanks</t>
  </si>
  <si>
    <t>Ship Loading</t>
  </si>
  <si>
    <t>Trucking on receiving side</t>
  </si>
  <si>
    <t>Convert scf to metric ton</t>
  </si>
  <si>
    <t>scf / metric ton</t>
  </si>
  <si>
    <t>btu / cf</t>
  </si>
  <si>
    <t>g / kWh</t>
  </si>
  <si>
    <t>Round trip miles</t>
  </si>
  <si>
    <t>miles / day</t>
  </si>
  <si>
    <t>Extra Days for storage at berth and receiving terminal</t>
  </si>
  <si>
    <t>days</t>
  </si>
  <si>
    <t>% boil off gas leaked</t>
  </si>
  <si>
    <t>Days of Journey</t>
  </si>
  <si>
    <t>Total Days</t>
  </si>
  <si>
    <t>Convert scf to m3</t>
  </si>
  <si>
    <t>scf / m3</t>
  </si>
  <si>
    <t>m3 natural gas / m3 LNG</t>
  </si>
  <si>
    <t>Total BOG % per journey</t>
  </si>
  <si>
    <t>Percent Flared</t>
  </si>
  <si>
    <t>kg CO2 / kg C</t>
  </si>
  <si>
    <t>Flaring CO2</t>
  </si>
  <si>
    <t>Fuel Use CO2</t>
  </si>
  <si>
    <t>CH4 emissions slip as a percent of gas fed to engine</t>
  </si>
  <si>
    <t>CH4 emissions (slip) as a percent of gas fed to engine</t>
  </si>
  <si>
    <t>Tanker Capacity</t>
  </si>
  <si>
    <t>m3 LNG</t>
  </si>
  <si>
    <t>kg / mile</t>
  </si>
  <si>
    <t>Percent NG consumed as fuel</t>
  </si>
  <si>
    <t>calculated based on data in Mallapragada S9, average of ship scenarios and fuel usage</t>
  </si>
  <si>
    <t>C to CO2</t>
  </si>
  <si>
    <t>F: Coal Production CH4</t>
  </si>
  <si>
    <t>G: Coal Production CO2</t>
  </si>
  <si>
    <t>Coal Production</t>
  </si>
  <si>
    <t>Emissions per ton</t>
  </si>
  <si>
    <t>Heat content of coal</t>
  </si>
  <si>
    <t>mmbtu / metric ton</t>
  </si>
  <si>
    <t>g / mmbtu</t>
  </si>
  <si>
    <t>g CO2 / per metric ton coal production</t>
  </si>
  <si>
    <t>CO2 per metric ton for coal production</t>
  </si>
  <si>
    <t>CH4 per metric ton for coal production</t>
  </si>
  <si>
    <t>Gas Transportation</t>
  </si>
  <si>
    <t>Gas Transportation: LNG-Liquefaction</t>
  </si>
  <si>
    <t>Gas Transportation: LNG-Shipping</t>
  </si>
  <si>
    <t>Gas Transportation: LNG-Regasification</t>
  </si>
  <si>
    <t>Gas Transportation: LNG-Storage Tanks</t>
  </si>
  <si>
    <t>Gas Transportation: LNG-Ship Loading</t>
  </si>
  <si>
    <t>Gas Transportation: LNG-Trucking on receiving side</t>
  </si>
  <si>
    <t>CO2 per metric ton for coal transport (rail)</t>
  </si>
  <si>
    <t>NETL coal life cycle analysis Tables B:2-B:13. Only includes CO2 emissions from "fuel combustion" from Coal Transport Ocean, coverted to mmbtu based on heat rate of 8,573 btu/kwh used in study, and converted to tons coal. Default is for US powder river basin coal, but study also includes data on australian (2,919) and indonesian (7,515-9,510) coal. https://www.netl.doe.gov/energy-analysis/details?id=1821</t>
  </si>
  <si>
    <t>CO2 per metric ton for coal transport per mile (rail)</t>
  </si>
  <si>
    <t>CO2 per metric ton for coal transport (ocean), import/export terminals</t>
  </si>
  <si>
    <t>g CO2 / per metric ton coal</t>
  </si>
  <si>
    <t>CO2 per metric ton for coal transport per mile (ocean)</t>
  </si>
  <si>
    <t>Miles coal ocean transport</t>
  </si>
  <si>
    <t>Import/Export Terminals</t>
  </si>
  <si>
    <t>Coal Mines</t>
  </si>
  <si>
    <t>NETL coal life cycle analysis Tables B:2-B:13. Only includes CO2 emissions from "fuel combustion" from Coal Transport ocean, coverted to mmbtu based on heat rate of 8,573 btu/kwh used in study, and converted to tons coal. Default is for exports from Longview WA (exports from Australia ~ 10, Exports from Indonesia ~15),  https://www.netl.doe.gov/energy-analysis/details?id=1821 Divided by the average ocean distances from Longview, WA ports to Yokohama Japan, Pohang Korea, and Keelung Taiwan https://www.searates.com/reference/portdistance/</t>
  </si>
  <si>
    <t>No</t>
  </si>
  <si>
    <t>Volume NG (atmospheric pressure) per volume LNG</t>
  </si>
  <si>
    <t>mmbtu</t>
  </si>
  <si>
    <t>Natural Gas Delivered to Consumers</t>
  </si>
  <si>
    <t>Natural Gas Exports</t>
  </si>
  <si>
    <t>Domestic Consumers+Exports</t>
  </si>
  <si>
    <t>Total Heat Content of Delivered Gas</t>
  </si>
  <si>
    <t>Transportation ii (LNG)</t>
  </si>
  <si>
    <t>Transportation I (Rail)</t>
  </si>
  <si>
    <t>Transportation ii (Ocean)</t>
  </si>
  <si>
    <t>Transportation i (Pipeline)</t>
  </si>
  <si>
    <t>Coal Rail Transport</t>
  </si>
  <si>
    <t>Adjustment factor</t>
  </si>
  <si>
    <t>Gas Composition</t>
  </si>
  <si>
    <t>Gross Gas Production</t>
  </si>
  <si>
    <t>CO2 emissions per transmission pipeline mile</t>
  </si>
  <si>
    <t>GHGI transmission CO2+EIA pipeline fuel, divided by 604 miles, average pipeline distance in US</t>
  </si>
  <si>
    <t>One-way trip miles</t>
  </si>
  <si>
    <t>calculated based on one way trip, because ship not loaded with LNG on return trip</t>
  </si>
  <si>
    <t>calculated based on round trip, because ship needs to return to origin, and not clear that it can be loaded with another product, so emission still part of LNG supply chain</t>
  </si>
  <si>
    <t>Heat Rate of Coal Plant</t>
  </si>
  <si>
    <t>Carbon Coefficient of Coal</t>
  </si>
  <si>
    <t>Heat Rate of Natural Gas Plant</t>
  </si>
  <si>
    <t>Carbon Coefficient of Natural Gas</t>
  </si>
  <si>
    <t>Heat content of Natural Gas</t>
  </si>
  <si>
    <t>C(i): NG Pipeline Transportation CH4</t>
  </si>
  <si>
    <t>D(i): NG Pipeline Transportation CO2</t>
  </si>
  <si>
    <t>H(i): Coal Rail Transportation CO2</t>
  </si>
  <si>
    <t>H(ii): Coal Ocean Transportation CO2</t>
  </si>
  <si>
    <t>kg CH4 / metric ton coal produced</t>
  </si>
  <si>
    <t>kg CH4 / metric ton coal production</t>
  </si>
  <si>
    <t>NETL coal life cycle analysis Tables B:2-B:13. Only includes CO2 emissions from "fuel combustion" from Coal Mining-coal mining and overburden removal, coverted to mmbtu based on heat rate of 8,573 btu/kwh used in study, and converted to tons coal. Default is for US powder river basin coal, but study also includes data on australian (5,827) and indonesian (508-11,820) coal. https://www.netl.doe.gov/energy-analysis/details?id=1821</t>
  </si>
  <si>
    <t>FOR REFRENCE</t>
  </si>
  <si>
    <t>20 yr CH4 GWP</t>
  </si>
  <si>
    <t>100 yr CH4 GWP</t>
  </si>
  <si>
    <t>Coal Transportation</t>
  </si>
  <si>
    <t>scf to metric ton</t>
  </si>
  <si>
    <t>scf to m3</t>
  </si>
  <si>
    <t>% leak rate (net)</t>
  </si>
  <si>
    <t>% leak rate (gross)</t>
  </si>
  <si>
    <t>Leak rate (gross) adjusted for miles</t>
  </si>
  <si>
    <t>g/MJ</t>
  </si>
  <si>
    <t>MJ to mmbtu</t>
  </si>
  <si>
    <t>g co2e/MJ</t>
  </si>
  <si>
    <t>Miles coal rail/truck/barge transport</t>
  </si>
  <si>
    <t>Leak Rate per transmission pipeline mile in receiving country</t>
  </si>
  <si>
    <t>Leak Rate in producing country</t>
  </si>
  <si>
    <t>Leak Rate in receiving country</t>
  </si>
  <si>
    <t>60%, see notes about this assumption</t>
  </si>
  <si>
    <t>MMBTU / MJ</t>
  </si>
  <si>
    <t>Abrahams  (min, avg, max) 0.83 0.93 0.95</t>
  </si>
  <si>
    <t>Gas Delivered as a percent of gas produced</t>
  </si>
  <si>
    <t>In US 81% in 2015, 84% in 2018</t>
  </si>
  <si>
    <t>Leak rate as a percent of gross gas production</t>
  </si>
  <si>
    <t>average of Mallapragada Table S9 195,000. Abrahams 260,000</t>
  </si>
  <si>
    <t>Abrahams has avg of 3% here</t>
  </si>
  <si>
    <t>Abrahams SI Table S8 (0.125%), Lowell pg 20 (.15%), GREET model .1%, Qatar gas estimate is 0.179%, Kwak (0.15%)</t>
  </si>
  <si>
    <t>start with assumption same as producing country, but can be adjusted.</t>
  </si>
  <si>
    <t>from Gan Pipeline leakage rate (kg/kg-km) Uniform(2.2E-06, 5.84E-06) for U.S. pipeline system Triangular(1.4E-06, 3.0E-06, 7.1E-06) for others Source: Zimmerle et al. 20152, Logan et al. 20123, Laurenzi et al. 20134, Alvarez et al. 20185, USEPA 2013~20196-12, Dedikov et al. 199913, Lelieveld et al.14,15, Russia NIR 2012~201616-20, Rosstat 201521</t>
  </si>
  <si>
    <t>Gan: add 5 for storage at berth and 5 for storage at receiving terminal, source, Abrahams days at port: 3 (Table s8)</t>
  </si>
  <si>
    <t>EIA</t>
  </si>
  <si>
    <t>mmcf</t>
  </si>
  <si>
    <t>metric tons / mmcf</t>
  </si>
  <si>
    <t>GHGRP emissions as a default to calculate</t>
  </si>
  <si>
    <t>Leak Rate as a percent of gas delivered</t>
  </si>
  <si>
    <t>Leak Rate in production country as a percent of gas delivered</t>
  </si>
  <si>
    <t>Leak Rate in receiving country as a percent of gas delivered</t>
  </si>
  <si>
    <t>Leak rate as a percent of gas delivered</t>
  </si>
  <si>
    <t>EPA GHGRP 2018 subpart W</t>
  </si>
  <si>
    <t>EPA GHGRP 2018 subpart C</t>
  </si>
  <si>
    <t>CH4 percent of delivered gas</t>
  </si>
  <si>
    <t>CCS</t>
  </si>
  <si>
    <t>Energy Penalty of CCS</t>
  </si>
  <si>
    <t>CO2 Capture %</t>
  </si>
  <si>
    <t>No CCS</t>
  </si>
  <si>
    <t>changed to 25 to compare to Heath/Abrahams and Fiji</t>
  </si>
  <si>
    <t>we are modeling gas engines here:
While emission factors for gas turbines can vary, an emission factor of 4 g methane per GJ of fuel  could result in methane emissions of 12 g per metric ton of LNG liquefied. 
Incomplete combustion of fuel in a lean-burn spark ignited gas engine results in methane emissions of about 350 g of methane per GJ of fuel. Marcogaz and GIE. (2019). Potential ways the gas industry can contribute to the reduction of methane emissions.</t>
  </si>
  <si>
    <t>g CH4/kWh</t>
  </si>
  <si>
    <t>Parameter Name</t>
  </si>
  <si>
    <t>Alvarez 2018, dynamically calculated based on % attributed to natural gas</t>
  </si>
  <si>
    <t>Oil and Gas Production - Flaring</t>
  </si>
  <si>
    <t>Gathering/Boosting - Flaring</t>
  </si>
  <si>
    <t>Oil Production (with adjustment) - Flaring</t>
  </si>
  <si>
    <t>Processing - Flaring</t>
  </si>
  <si>
    <t>Flaring Sum</t>
  </si>
  <si>
    <t>Flaring Metric tons</t>
  </si>
  <si>
    <t>Gas Production - Flaring</t>
  </si>
  <si>
    <t>Combustion Emissions to use:</t>
  </si>
  <si>
    <t>Flaring Emissions to use:</t>
  </si>
  <si>
    <t>CO2 emissions per mmcf - Combustion</t>
  </si>
  <si>
    <t>CO2 emissions per mmcf - Flaring</t>
  </si>
  <si>
    <t>metric tons/mmcf</t>
  </si>
  <si>
    <t>Calculated Emission rate - Flaring</t>
  </si>
  <si>
    <t>Gas Production - Combustion/Other</t>
  </si>
  <si>
    <t>Oil Production (with adjustment) - Combustion/Other</t>
  </si>
  <si>
    <t>Oil and Gas Production - Combustion/Other</t>
  </si>
  <si>
    <t>Gathering/Boosting - Combustion/Other</t>
  </si>
  <si>
    <t>Processing - Combustion/Other</t>
  </si>
  <si>
    <t>Lease Fuel - Combustion/Other</t>
  </si>
  <si>
    <t>Plant Fuel Combustion/Other</t>
  </si>
  <si>
    <t>Combustion/Other Sum</t>
  </si>
  <si>
    <t>Combustion/Other Metric tons</t>
  </si>
  <si>
    <t>Calculated Emission rate - Combustion/Other</t>
  </si>
  <si>
    <t>CO2 emissions per mmcf gas delivered - Flaring</t>
  </si>
  <si>
    <t>"This LPDF, slow-speed, two-stroke engine is leaking about 1.7% of its methane fuel whereas the HPDF engine leaks 0.15%." see "shipping methane slip" email, LPDF more typical for tanker engines [how to cite]
Sintef report, 40.9 g CH4/kf fuel. Does this translate to a 4.09% slip rate?</t>
  </si>
  <si>
    <t>Lifecycle Code</t>
  </si>
  <si>
    <t>g CO2 /  metric ton coal production</t>
  </si>
  <si>
    <t>F</t>
  </si>
  <si>
    <t>G</t>
  </si>
  <si>
    <t>H(i)</t>
  </si>
  <si>
    <t>H(ii)</t>
  </si>
  <si>
    <t>I</t>
  </si>
  <si>
    <t>A</t>
  </si>
  <si>
    <t>B</t>
  </si>
  <si>
    <t>C(i)</t>
  </si>
  <si>
    <t>D(i)</t>
  </si>
  <si>
    <t>D(ii)</t>
  </si>
  <si>
    <t>C(ii)</t>
  </si>
  <si>
    <t>C(ii), D(ii)</t>
  </si>
  <si>
    <t>default is Powder river basin to Longview WA, Figure 16: https://www.heavytrafficahead.org/pdf/Heavy-Traffic-Ahead-web.pdf. Much lower for coal sourced from other parts of the world.</t>
  </si>
  <si>
    <t>Permian</t>
  </si>
  <si>
    <t>% of production</t>
  </si>
  <si>
    <t>Adjusted to account for % of gas production not reporting to GHGRP</t>
  </si>
  <si>
    <t>Appalachian</t>
  </si>
  <si>
    <t>Low</t>
  </si>
  <si>
    <t>High</t>
  </si>
  <si>
    <t>Exxon implicitly uses 4.5%, other source said 12%. Sabine Pass: 8.9%. Lowell pg 18 10-20%. LNG plant powered by grid connected electricity (fossil or non-fossil derived) is not considered</t>
  </si>
  <si>
    <t>Same as a processing plant, based on USGHGI. 0.17 from alvarez 2018, 0.06 from processing GHGI, 0.07% from Exxon, 0.09% calculated from US GHG Inventory and US liquefaction capacity data</t>
  </si>
  <si>
    <t xml:space="preserve">GREET model "recovery rate for boil-off gas" is 80%.  Exxon said zero, Lowell pg 21 2% of BOG released to atmosphere,  GREET model "recovery rate for boil-off gas" is 80%. </t>
  </si>
  <si>
    <t>Mallapragada SI pg 18, range .008% - .409%. Exxon range  .008% - .409%, average 0.02%</t>
  </si>
  <si>
    <t>GREET, 20mi/hr 480 mi/day, Abrahams 19.5 knots, 22.4 mph 538 miles/day, Gan Triangular(8.8,12.5,14.1 km/hr)</t>
  </si>
  <si>
    <t>Russia</t>
  </si>
  <si>
    <t>US</t>
  </si>
  <si>
    <t>Qatar</t>
  </si>
  <si>
    <t>Flaring 2019</t>
  </si>
  <si>
    <t>bcm</t>
  </si>
  <si>
    <t>https://pubdocs.worldbank.org/en/503141595343850009/WB-GGFR-Report-July2020.pdf</t>
  </si>
  <si>
    <t>Flare efficiency</t>
  </si>
  <si>
    <t>kgCO2/Mscf</t>
  </si>
  <si>
    <t>approximate</t>
  </si>
  <si>
    <t>metric tons</t>
  </si>
  <si>
    <t>CO2 emissions</t>
  </si>
  <si>
    <t>https://www.eia.gov/international/data/country/QAT/natural-gas/dry-natural-gas-production?pd=3002&amp;p=00g&amp;u=0&amp;f=A&amp;v=mapbubble&amp;a=-&amp;i=none&amp;vo=value&amp;&amp;t=C&amp;g=none&amp;l=249--194&amp;s=315532800000&amp;e=1546300800000</t>
  </si>
  <si>
    <t>Flaring emissions rate</t>
  </si>
  <si>
    <t>https://www.eia.gov/international/data/country/QAT/natural-gas/dry-natural-gas-production?pd=3002&amp;p=00g&amp;u=0&amp;f=A&amp;v=mapbubble&amp;a=-&amp;i=none&amp;vo=value&amp;&amp;t=C&amp;g=none&amp;l=249-000000000000000000000000000000000000001400000002&amp;s=315532800000&amp;e=1546300800000</t>
  </si>
  <si>
    <t>Production per well</t>
  </si>
  <si>
    <t>https://www.gazprom.com/about/production/extraction/</t>
  </si>
  <si>
    <t># Gas Wells</t>
  </si>
  <si>
    <t>https://www.opec.org/opec_web/static_files_project/media/downloads/publications/ASB%202018.pdf</t>
  </si>
  <si>
    <t>Qatar compared to US</t>
  </si>
  <si>
    <t>Russia compared to US</t>
  </si>
  <si>
    <t>NATURAL GAS Case 4</t>
  </si>
  <si>
    <t>NATURAL GAS Case 5</t>
  </si>
  <si>
    <t>NATURAL GAS Case 6</t>
  </si>
  <si>
    <t>NATURAL GAS Case 1</t>
  </si>
  <si>
    <t>NATURAL GAS Case 2</t>
  </si>
  <si>
    <t>NATURAL GAS Case 3</t>
  </si>
  <si>
    <t>COAL Case 1</t>
  </si>
  <si>
    <t>COAL Case 2</t>
  </si>
  <si>
    <t>COAL Case 3</t>
  </si>
  <si>
    <t>Results</t>
  </si>
  <si>
    <t>20 yr GWP</t>
  </si>
  <si>
    <t>100 yr GWP</t>
  </si>
  <si>
    <t>Power Plant CCS</t>
  </si>
  <si>
    <t>any variability here?</t>
  </si>
  <si>
    <t>Schweitzke bottom up inventory emissions (https://cedmcenter.org/bottom-up-inventory-data/) divided by country coal production from EIA, Default is medium for US 3.3, low=2.5, high=4.8 https://www.eia.gov/beta/international/data/browser/#/?pa=0000000000000000000000000000000000000000000000000000g&amp;c=ruvvvvvfvtvnvv1vrvvvvfvvvvvvfvvvou20evvvvvvvvvvvvuvs&amp;ct=0&amp;ug=8&amp;tl_id=1-A&amp;vs=INTL.7-1-AFG-MT.A&amp;cy=2011&amp;vo=0&amp;v=H&amp;start=2010&amp;end=2011
GHG Inventory Table A-112: average of underground for 3 appalachian coal basins in-situ plus post-mining (138.4+45, 136.8+44.5, 399.1+129.7 ft3/short ton). average of surface mining for 2 northern great plans basins (powder river) in-situ plus post mining: (20.0+6.5, 5.6+1.8) ft3/short ton). convert to kg/metric ton using 1 ft3 methane=0.01926 kg, and 1 short ton=0.907185 metric ton epa.gov/sites/production/files/2021-04/documents/us-ghg-inventory-2021-annex-3-additional-source-or-sink-categories-part-a.pdf</t>
  </si>
  <si>
    <t>g CO2 /  metric ton coal transported / km</t>
  </si>
  <si>
    <t>km</t>
  </si>
  <si>
    <t>g CO2 / per metric ton coal transported / km</t>
  </si>
  <si>
    <t>CO2 per metric ton for coal transport per km (rail)</t>
  </si>
  <si>
    <t>km coal rail transport</t>
  </si>
  <si>
    <t>NETL coal life cycle analysis Tables B:2-B:13. Only includes CO2 emissions from "fuel combustion" from Coal Transport Rail, coverted to mmbtu based on heat rate of 8,573 btu/kwh used in study, and converted to tons coal. 32,590 g CO2 per metric ton of coal produced. Default is for US powder river basin coal,  https://www.netl.doe.gov/energy-analysis/details?id=1821 Divided by the average rail distance from PBR to Longview, WA port 2,253 km 13.7 g CO2/metric ton transported/mile</t>
  </si>
  <si>
    <t>g CO2 / per metric ton coal / km</t>
  </si>
  <si>
    <t>distance from longview was to yokohama japan</t>
  </si>
  <si>
    <t>km coal ocean transport</t>
  </si>
  <si>
    <t>CO2 per metric ton for coal transport per km (ocean)</t>
  </si>
  <si>
    <t>NETL 2016 for US 604 average. convert to km. ~2500 miles from Yuzhno-Russkoye field to Berlin https://www.cleanenergywire.org/factsheets/gas-pipeline-nord-stream-2-links-germany-russia-splits-europe#:~:text=Nord%20Stream%202%20is%20an,pipeline%20underneath%20the%20Baltic%20Sea.</t>
  </si>
  <si>
    <t>Pipeline km for gas transmission in production country</t>
  </si>
  <si>
    <t>Leak Rate per transmission pipeline km in production country</t>
  </si>
  <si>
    <t>Pipeline km for gas transmission in receiving country</t>
  </si>
  <si>
    <t>% per km</t>
  </si>
  <si>
    <t>set so transmission leak rate equivalent to Alvarez 2018, or from Gan Pipeline leakage rate (kg/kg-km) Uniform(2.2E-06, 5.84E-06) for U.S. pipeline system, which translates to an average of 4.02*10-6</t>
  </si>
  <si>
    <t>bcf/bcf-km</t>
  </si>
  <si>
    <t>Pipeline km for gas transmission</t>
  </si>
  <si>
    <t>Leak rate (net) adjusted for km</t>
  </si>
  <si>
    <t>CH4 emissions per km</t>
  </si>
  <si>
    <t>U.S. Pipeline km for gas transmission</t>
  </si>
  <si>
    <t>CO2 emissions per km calculated from Inventory+EIA</t>
  </si>
  <si>
    <t>Tg per km</t>
  </si>
  <si>
    <t>Adjustable CO2 emissions per km</t>
  </si>
  <si>
    <t>Pipeline km for gas transmission (production + receiving country)</t>
  </si>
  <si>
    <t>Emissions adjusted for km</t>
  </si>
  <si>
    <t>CO2 emissions per mmcf gas delivered - Combustion</t>
  </si>
  <si>
    <t>Existing coal fleet reflects US average 10,600, old fleet reflects retired plants over last ~10 years 10,700, new fleet reflects new in last ~10 years 9,900</t>
  </si>
  <si>
    <t>e.g. distance from rotterdam to berlin: 380 mi, italy Panigaglia to berlin 600 mi, hamburg to berlin 200 km</t>
  </si>
  <si>
    <t xml:space="preserve">Sabine Pass Louisiana to Rotterdam is 5000 miles. Cove Point to Rotterdam is 3,547, qatar to panigaglia italy is: ~5,000 miles. Qatar to hamburg germany ~12,500 km https://sea-distances.org/advanced. Corpus Cristi to Hamburg 10,000 km. https://www.calcmaps.com/map-distance/qt4r27/ </t>
  </si>
  <si>
    <t>km / day</t>
  </si>
  <si>
    <t>kg / km</t>
  </si>
  <si>
    <t>US: average 7300, new 7,100, old 9,500. 
EU: 49.7%  https://www.eea.europa.eu/data-and-maps/indicators/efficiency-of-conventional-thermal-electricity-generation-4/assessment-2#:~:text=In%202016%2C%20the%20average%20efficiency,the%20majority%20of%20this%20increase</t>
  </si>
  <si>
    <t>compared to US avg</t>
  </si>
  <si>
    <t>Percent of throughput leaked-liquefaction</t>
  </si>
  <si>
    <t>Percent of throughput leaked-regasification</t>
  </si>
  <si>
    <t>Percent of throughput consumed as fuel-liquefaction</t>
  </si>
  <si>
    <t>Percent of throughput consumed as fuel-regasification</t>
  </si>
  <si>
    <t>Percent of throughput leaked-lng storage</t>
  </si>
  <si>
    <t>Percent of throughput leaked-ship loading</t>
  </si>
  <si>
    <t>Flaring %-liquefaction</t>
  </si>
  <si>
    <t>Flaring %-regasification</t>
  </si>
  <si>
    <t>Flaring Slip/Uncombusted CH4</t>
  </si>
  <si>
    <t>CH4 emissions slip as a percent of gas fed to engine-liquefaction</t>
  </si>
  <si>
    <t>CH4 emissions (slip) as a percent of gas fed to engine-regasification</t>
  </si>
  <si>
    <t>CH4 emissions uncombed from flare-liquefaction</t>
  </si>
  <si>
    <t>CH4 incomplete combustion as percent of gas sent to flare</t>
  </si>
  <si>
    <t>Oil and Gas Production - Acid Gas Removal</t>
  </si>
  <si>
    <t>Gathering/Boosting - Acid Gas Removal</t>
  </si>
  <si>
    <t>Processing - Acid Gas Removal</t>
  </si>
  <si>
    <t>Acid Gas Removal Metric tons</t>
  </si>
  <si>
    <t>Acid Gas Removal Sum</t>
  </si>
  <si>
    <t>Calculated Emission rate - Acid Gas Removal</t>
  </si>
  <si>
    <t>CO2 emissions per mmcf gas delivered - Acid Gas Removal</t>
  </si>
  <si>
    <t>Acid Gas Removal Emissions to use:</t>
  </si>
  <si>
    <t>source: ghgrp well data</t>
  </si>
  <si>
    <t>source: mjb report</t>
  </si>
  <si>
    <t>US 2019 https://www.eia.gov/totalenergy/data/monthly/pdf/sec12_6.pdf, converted from short tons to metric tons.. Coal in PWB is sub-bituminous, 15-20 mmbtu/short ton. http://large.stanford.edu/publications/coal/references/docs/052992.pdf. Appalachian has bituminous 20-26</t>
  </si>
  <si>
    <t>CO2 emissions per shipping km</t>
  </si>
  <si>
    <t>CH4 emissions uncombusted from flare-regasification</t>
  </si>
  <si>
    <t>Yes/No</t>
  </si>
  <si>
    <t>Production mmcf</t>
  </si>
  <si>
    <t>Adjustment factor for oil vs gas</t>
  </si>
  <si>
    <t>Notes re % production attributable to NG, cont'd:  Our central estimate of % of O&amp;G production attributable to NG is 60%.  Could vary 40-89% - depends on how the problem is defined. Many LCAs attribute some methane emissions from oil production to natural gas, since a fair amount of natural gas production originates from oil production.  For example Alvarez 2012 (TWP paper) includes 27% of oil production methane as part of the NG system.  Furthermore, some inventories (notably, Alvarez 2018) do not differentiate oil and gas emissions, so we must decide how much of oil and gas emissions to attribute to NG.</t>
  </si>
  <si>
    <t>Gas Production - CH4 percent of whole gas</t>
  </si>
  <si>
    <t>Oil Production - CH4 percent of whole gas</t>
  </si>
  <si>
    <t>Gas Processing - CH4 percent of whole gas</t>
  </si>
  <si>
    <t>Gas Transportation - CH4 percent of whole gas</t>
  </si>
  <si>
    <t>LNG - CH4 percent of whole gas</t>
  </si>
  <si>
    <t>Mid</t>
  </si>
  <si>
    <t>g CH4/per mmbtu</t>
  </si>
  <si>
    <t>g CO2e (100 yr)/per mmbtu</t>
  </si>
  <si>
    <t>g CO2e (20 yr)/per mmbtu</t>
  </si>
  <si>
    <t>g CH4/per MJ</t>
  </si>
  <si>
    <t>g CO2e (100 yr)/per MJ</t>
  </si>
  <si>
    <t>g CO2e (20 yr)/per MJ</t>
  </si>
  <si>
    <t xml:space="preserve">Alvarez </t>
  </si>
  <si>
    <t>Table S3 </t>
  </si>
  <si>
    <t>Permian compared to US</t>
  </si>
  <si>
    <t>Percent of throughput leaked-trucking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</si>
</sst>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_(* #,##0.000_);_(* \(#,##0.000\);_(* &quot;-&quot;??_);_(@_)"/>
    <numFmt numFmtId="166" formatCode="0.0%"/>
    <numFmt numFmtId="167" formatCode="0.000%"/>
    <numFmt numFmtId="168" formatCode="_(* #,##0.0000_);_(* \(#,##0.0000\);_(* &quot;-&quot;??_);_(@_)"/>
    <numFmt numFmtId="169" formatCode="_(* #,##0.0_);_(* \(#,##0.0\);_(* &quot;-&quot;??_);_(@_)"/>
    <numFmt numFmtId="170" formatCode="_(* #,##0.000000_);_(* \(#,##0.000000\);_(* &quot;-&quot;??_);_(@_)"/>
    <numFmt numFmtId="171" formatCode="0.000000000000000%"/>
    <numFmt numFmtId="172" formatCode="_(* #,##0.00000_);_(* \(#,##0.00000\);_(* &quot;-&quot;??_);_(@_)"/>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Verdana"/>
      <family val="2"/>
    </font>
    <font>
      <u/>
      <sz val="12"/>
      <color theme="10"/>
      <name val="Calibri"/>
      <family val="2"/>
      <scheme val="minor"/>
    </font>
    <font>
      <sz val="12"/>
      <color theme="1"/>
      <name val="Calibri"/>
      <family val="2"/>
    </font>
    <font>
      <sz val="12"/>
      <color rgb="FF000000"/>
      <name val="Calibri"/>
      <family val="2"/>
    </font>
    <font>
      <sz val="1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theme="0" tint="-0.249977111117893"/>
      <name val="Calibri"/>
      <family val="2"/>
      <scheme val="minor"/>
    </font>
    <font>
      <sz val="11"/>
      <color rgb="FF000000"/>
      <name val="Calibri"/>
      <family val="2"/>
    </font>
    <font>
      <u/>
      <sz val="11"/>
      <color rgb="FF0563C1"/>
      <name val="Calibri"/>
      <family val="2"/>
      <scheme val="minor"/>
    </font>
    <font>
      <sz val="12"/>
      <color theme="1"/>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theme="0" tint="-0.499984740745262"/>
        <bgColor indexed="64"/>
      </patternFill>
    </fill>
    <fill>
      <patternFill patternType="solid">
        <fgColor theme="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1">
    <border>
      <left/>
      <right/>
      <top/>
      <bottom/>
      <diagonal/>
    </border>
  </borders>
  <cellStyleXfs count="9">
    <xf numFmtId="0" fontId="0" fillId="0" borderId="0"/>
    <xf numFmtId="43"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43" fontId="3"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277">
    <xf numFmtId="0" fontId="0" fillId="0" borderId="0" xfId="0"/>
    <xf numFmtId="0" fontId="2" fillId="0" borderId="0" xfId="0" applyFont="1" applyBorder="1" applyAlignment="1">
      <alignment horizontal="center" vertical="center" wrapText="1"/>
    </xf>
    <xf numFmtId="0" fontId="2" fillId="0" borderId="0" xfId="0" applyFont="1" applyAlignment="1"/>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wrapText="1"/>
    </xf>
    <xf numFmtId="164" fontId="2" fillId="0" borderId="0" xfId="1"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6" fillId="0" borderId="0" xfId="0" applyFont="1" applyBorder="1" applyAlignment="1">
      <alignment vertical="center" wrapText="1"/>
    </xf>
    <xf numFmtId="0" fontId="0" fillId="0" borderId="0" xfId="0" applyBorder="1"/>
    <xf numFmtId="0" fontId="6" fillId="0" borderId="0" xfId="0" applyFont="1" applyBorder="1" applyAlignment="1">
      <alignment vertical="center"/>
    </xf>
    <xf numFmtId="0" fontId="0" fillId="0" borderId="0" xfId="0" applyFill="1" applyBorder="1"/>
    <xf numFmtId="0" fontId="6" fillId="0" borderId="0" xfId="0" applyFont="1" applyFill="1" applyBorder="1" applyAlignment="1">
      <alignment horizontal="center" vertical="center" wrapText="1"/>
    </xf>
    <xf numFmtId="0" fontId="0" fillId="0" borderId="0" xfId="0" applyBorder="1" applyAlignment="1">
      <alignment wrapText="1"/>
    </xf>
    <xf numFmtId="164" fontId="0" fillId="0" borderId="0" xfId="1" applyNumberFormat="1" applyFont="1" applyBorder="1"/>
    <xf numFmtId="164" fontId="2" fillId="2" borderId="0" xfId="1" applyNumberFormat="1" applyFont="1" applyFill="1" applyBorder="1" applyAlignment="1">
      <alignment horizontal="center" vertical="center"/>
    </xf>
    <xf numFmtId="164" fontId="2" fillId="0" borderId="0" xfId="1" applyNumberFormat="1"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5" applyFont="1" applyBorder="1" applyAlignment="1">
      <alignment horizontal="center" wrapText="1"/>
    </xf>
    <xf numFmtId="0" fontId="2" fillId="0" borderId="0" xfId="0" applyFont="1" applyBorder="1" applyAlignment="1"/>
    <xf numFmtId="0" fontId="8" fillId="0" borderId="0" xfId="5" applyFont="1" applyBorder="1" applyAlignment="1">
      <alignment horizontal="center"/>
    </xf>
    <xf numFmtId="0" fontId="2" fillId="0" borderId="0" xfId="0" applyFont="1" applyFill="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left" vertical="center"/>
    </xf>
    <xf numFmtId="0" fontId="2" fillId="0" borderId="0" xfId="0" applyFont="1" applyBorder="1" applyAlignment="1">
      <alignment horizontal="left"/>
    </xf>
    <xf numFmtId="164" fontId="7" fillId="0"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0" fillId="0" borderId="0" xfId="0" applyNumberFormat="1" applyBorder="1"/>
    <xf numFmtId="164" fontId="0" fillId="0" borderId="0" xfId="0" applyNumberFormat="1" applyFill="1" applyBorder="1"/>
    <xf numFmtId="164" fontId="6" fillId="0" borderId="0" xfId="0" applyNumberFormat="1" applyFont="1" applyBorder="1" applyAlignment="1">
      <alignment horizontal="center" vertical="center" wrapText="1"/>
    </xf>
    <xf numFmtId="164" fontId="7" fillId="0" borderId="0" xfId="1" applyNumberFormat="1" applyFont="1" applyFill="1" applyBorder="1" applyAlignment="1">
      <alignment horizontal="center" vertical="center" wrapText="1"/>
    </xf>
    <xf numFmtId="164" fontId="6" fillId="3" borderId="0"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164" fontId="2" fillId="0" borderId="0" xfId="1" applyNumberFormat="1" applyFont="1" applyAlignment="1">
      <alignment horizontal="center"/>
    </xf>
    <xf numFmtId="0" fontId="6" fillId="0" borderId="0" xfId="0" applyFont="1" applyBorder="1" applyAlignment="1">
      <alignment horizontal="center" vertical="center" wrapText="1"/>
    </xf>
    <xf numFmtId="0" fontId="9" fillId="5" borderId="0" xfId="0" applyFont="1" applyFill="1" applyAlignment="1"/>
    <xf numFmtId="0" fontId="8" fillId="7" borderId="0" xfId="0" applyFont="1" applyFill="1" applyAlignment="1">
      <alignment horizontal="center"/>
    </xf>
    <xf numFmtId="0" fontId="2" fillId="7" borderId="0" xfId="0" applyFont="1" applyFill="1" applyAlignment="1"/>
    <xf numFmtId="0" fontId="2" fillId="7" borderId="0" xfId="0" applyFont="1" applyFill="1" applyAlignment="1">
      <alignment horizontal="center"/>
    </xf>
    <xf numFmtId="0" fontId="8" fillId="7" borderId="0" xfId="0" applyFont="1" applyFill="1" applyAlignment="1">
      <alignment horizontal="left"/>
    </xf>
    <xf numFmtId="164" fontId="2" fillId="7" borderId="0" xfId="1" applyNumberFormat="1" applyFont="1" applyFill="1" applyAlignment="1"/>
    <xf numFmtId="43" fontId="2" fillId="7" borderId="0" xfId="1" applyFont="1" applyFill="1" applyAlignment="1"/>
    <xf numFmtId="0" fontId="8" fillId="0" borderId="0" xfId="0" applyFont="1" applyAlignment="1">
      <alignment horizontal="left"/>
    </xf>
    <xf numFmtId="43" fontId="2" fillId="0" borderId="0" xfId="1" applyFont="1" applyFill="1" applyAlignment="1"/>
    <xf numFmtId="0" fontId="2" fillId="0" borderId="0" xfId="0" applyFont="1" applyAlignment="1">
      <alignment horizontal="left"/>
    </xf>
    <xf numFmtId="10" fontId="2" fillId="2" borderId="0" xfId="2" applyNumberFormat="1" applyFont="1" applyFill="1" applyBorder="1" applyAlignment="1"/>
    <xf numFmtId="164" fontId="2" fillId="2" borderId="0" xfId="1" applyNumberFormat="1" applyFont="1" applyFill="1" applyBorder="1" applyAlignment="1"/>
    <xf numFmtId="9" fontId="2" fillId="2" borderId="0" xfId="2" applyFont="1" applyFill="1" applyBorder="1" applyAlignment="1"/>
    <xf numFmtId="9" fontId="2" fillId="0" borderId="0" xfId="2" applyFont="1" applyFill="1" applyBorder="1" applyAlignment="1"/>
    <xf numFmtId="0" fontId="2" fillId="0" borderId="0" xfId="0" applyFont="1" applyAlignment="1">
      <alignment horizontal="left" vertical="center"/>
    </xf>
    <xf numFmtId="43" fontId="2" fillId="2" borderId="0" xfId="1" applyFont="1" applyFill="1" applyAlignment="1"/>
    <xf numFmtId="0" fontId="8" fillId="0" borderId="0" xfId="0" applyFont="1" applyFill="1" applyAlignment="1">
      <alignment horizontal="left"/>
    </xf>
    <xf numFmtId="43" fontId="2" fillId="0" borderId="0" xfId="1" applyFont="1" applyAlignment="1"/>
    <xf numFmtId="164" fontId="2" fillId="2" borderId="0" xfId="1" applyNumberFormat="1" applyFont="1" applyFill="1" applyAlignment="1"/>
    <xf numFmtId="10" fontId="2" fillId="2" borderId="0" xfId="2" applyNumberFormat="1" applyFont="1" applyFill="1" applyAlignment="1"/>
    <xf numFmtId="43" fontId="2" fillId="0" borderId="0" xfId="0" applyNumberFormat="1" applyFont="1" applyAlignment="1"/>
    <xf numFmtId="164" fontId="2" fillId="0" borderId="0" xfId="0" applyNumberFormat="1" applyFont="1" applyAlignment="1"/>
    <xf numFmtId="0" fontId="10" fillId="0" borderId="0" xfId="3" applyFont="1" applyAlignment="1"/>
    <xf numFmtId="164" fontId="2" fillId="0" borderId="0" xfId="1" applyNumberFormat="1" applyFont="1" applyAlignment="1"/>
    <xf numFmtId="43" fontId="2" fillId="7" borderId="0" xfId="0" applyNumberFormat="1" applyFont="1" applyFill="1" applyAlignment="1"/>
    <xf numFmtId="164" fontId="11" fillId="0" borderId="0" xfId="1" applyNumberFormat="1" applyFont="1" applyAlignment="1"/>
    <xf numFmtId="164" fontId="2" fillId="0" borderId="0" xfId="1" applyNumberFormat="1" applyFont="1" applyFill="1" applyAlignment="1"/>
    <xf numFmtId="0" fontId="8" fillId="0" borderId="0" xfId="0" applyFont="1" applyFill="1" applyAlignment="1"/>
    <xf numFmtId="0" fontId="8" fillId="7" borderId="0" xfId="0" applyFont="1" applyFill="1" applyAlignment="1"/>
    <xf numFmtId="43" fontId="8" fillId="7" borderId="0" xfId="0" applyNumberFormat="1" applyFont="1" applyFill="1" applyAlignment="1">
      <alignment horizontal="center"/>
    </xf>
    <xf numFmtId="0" fontId="8" fillId="0" borderId="0" xfId="0" applyFont="1" applyAlignment="1">
      <alignment horizontal="center"/>
    </xf>
    <xf numFmtId="0" fontId="9" fillId="6" borderId="0" xfId="0" applyFont="1" applyFill="1" applyAlignment="1">
      <alignment horizontal="left"/>
    </xf>
    <xf numFmtId="0" fontId="8" fillId="6" borderId="0" xfId="0" applyFont="1" applyFill="1" applyAlignment="1">
      <alignment horizontal="center"/>
    </xf>
    <xf numFmtId="0" fontId="2" fillId="6" borderId="0" xfId="0" applyFont="1" applyFill="1" applyAlignment="1"/>
    <xf numFmtId="0" fontId="8" fillId="0" borderId="0" xfId="0" applyFont="1" applyAlignment="1">
      <alignment horizontal="left" vertical="center"/>
    </xf>
    <xf numFmtId="167" fontId="2" fillId="2" borderId="0" xfId="2" applyNumberFormat="1" applyFont="1" applyFill="1" applyAlignment="1"/>
    <xf numFmtId="166" fontId="2" fillId="0" borderId="0" xfId="2" applyNumberFormat="1" applyFont="1" applyAlignment="1"/>
    <xf numFmtId="0" fontId="8" fillId="0" borderId="0" xfId="0" applyFont="1" applyAlignment="1" applyProtection="1">
      <alignment horizontal="left"/>
      <protection locked="0"/>
    </xf>
    <xf numFmtId="43" fontId="8" fillId="0" borderId="0" xfId="1" applyFont="1" applyFill="1" applyBorder="1" applyAlignment="1"/>
    <xf numFmtId="0" fontId="9" fillId="6" borderId="0" xfId="0" applyFont="1" applyFill="1" applyAlignment="1" applyProtection="1">
      <alignment horizontal="left"/>
      <protection locked="0"/>
    </xf>
    <xf numFmtId="43" fontId="8" fillId="6" borderId="0" xfId="1" applyFont="1" applyFill="1" applyBorder="1" applyAlignment="1"/>
    <xf numFmtId="0" fontId="2" fillId="0" borderId="0" xfId="0" applyFont="1" applyFill="1" applyAlignment="1"/>
    <xf numFmtId="0" fontId="8" fillId="0" borderId="0" xfId="0" applyFont="1" applyFill="1" applyAlignment="1" applyProtection="1">
      <alignment horizontal="left"/>
      <protection locked="0"/>
    </xf>
    <xf numFmtId="10" fontId="8" fillId="2" borderId="0" xfId="2" applyNumberFormat="1" applyFont="1" applyFill="1" applyBorder="1" applyAlignment="1"/>
    <xf numFmtId="10" fontId="2" fillId="0" borderId="0" xfId="2" applyNumberFormat="1" applyFont="1" applyFill="1" applyAlignment="1"/>
    <xf numFmtId="165" fontId="2" fillId="0" borderId="0" xfId="1" applyNumberFormat="1" applyFont="1" applyAlignment="1">
      <alignment horizontal="center"/>
    </xf>
    <xf numFmtId="0" fontId="8" fillId="0" borderId="0" xfId="0" applyFont="1" applyFill="1" applyAlignment="1">
      <alignment horizontal="left" vertical="center"/>
    </xf>
    <xf numFmtId="165" fontId="2" fillId="0" borderId="0" xfId="1" applyNumberFormat="1" applyFont="1" applyFill="1" applyAlignment="1"/>
    <xf numFmtId="43" fontId="2" fillId="0" borderId="0" xfId="0" applyNumberFormat="1" applyFont="1" applyFill="1" applyAlignment="1"/>
    <xf numFmtId="3" fontId="11" fillId="0" borderId="0" xfId="0" applyNumberFormat="1" applyFont="1" applyAlignment="1"/>
    <xf numFmtId="43" fontId="2" fillId="2" borderId="0" xfId="0" applyNumberFormat="1" applyFont="1" applyFill="1" applyAlignment="1"/>
    <xf numFmtId="164" fontId="2" fillId="0" borderId="0" xfId="0" applyNumberFormat="1" applyFont="1" applyFill="1" applyAlignment="1"/>
    <xf numFmtId="0" fontId="2" fillId="0" borderId="0" xfId="0" applyFont="1" applyFill="1" applyAlignment="1">
      <alignment horizontal="center"/>
    </xf>
    <xf numFmtId="166" fontId="8" fillId="0" borderId="0" xfId="2" applyNumberFormat="1" applyFont="1" applyFill="1" applyAlignment="1"/>
    <xf numFmtId="43" fontId="8" fillId="0" borderId="0" xfId="1" applyFont="1" applyFill="1" applyAlignment="1"/>
    <xf numFmtId="10" fontId="8" fillId="0" borderId="0" xfId="2" applyNumberFormat="1" applyFont="1" applyFill="1" applyBorder="1" applyAlignment="1"/>
    <xf numFmtId="164" fontId="8" fillId="2" borderId="0" xfId="1" applyNumberFormat="1" applyFont="1" applyFill="1" applyAlignment="1">
      <alignment horizontal="center"/>
    </xf>
    <xf numFmtId="164" fontId="8" fillId="0" borderId="0" xfId="1" applyNumberFormat="1" applyFont="1" applyAlignment="1">
      <alignment horizontal="center"/>
    </xf>
    <xf numFmtId="0" fontId="10" fillId="0" borderId="0" xfId="3" applyFont="1" applyBorder="1" applyAlignment="1">
      <alignment horizontal="left" vertical="center"/>
    </xf>
    <xf numFmtId="164" fontId="2" fillId="0" borderId="0" xfId="1" applyNumberFormat="1" applyFont="1" applyFill="1" applyBorder="1" applyAlignment="1">
      <alignment horizontal="center" vertical="center"/>
    </xf>
    <xf numFmtId="164" fontId="2" fillId="0" borderId="0" xfId="1" applyNumberFormat="1" applyFont="1" applyBorder="1" applyAlignment="1">
      <alignment wrapText="1"/>
    </xf>
    <xf numFmtId="0" fontId="11" fillId="0" borderId="0" xfId="0" applyFont="1" applyAlignment="1">
      <alignment vertical="center"/>
    </xf>
    <xf numFmtId="0" fontId="11" fillId="0" borderId="0" xfId="0" applyFont="1" applyAlignment="1">
      <alignment horizontal="center"/>
    </xf>
    <xf numFmtId="43" fontId="11" fillId="0" borderId="0" xfId="0" applyNumberFormat="1" applyFont="1" applyFill="1" applyAlignment="1">
      <alignment horizontal="center" vertical="center"/>
    </xf>
    <xf numFmtId="164" fontId="2" fillId="2" borderId="0" xfId="1" applyNumberFormat="1" applyFont="1" applyFill="1" applyBorder="1" applyAlignment="1">
      <alignment wrapText="1"/>
    </xf>
    <xf numFmtId="164" fontId="2" fillId="2" borderId="0" xfId="1" applyNumberFormat="1" applyFont="1" applyFill="1" applyBorder="1" applyAlignment="1">
      <alignment horizontal="center" vertical="center" wrapText="1"/>
    </xf>
    <xf numFmtId="43" fontId="2" fillId="2" borderId="0" xfId="4" applyNumberFormat="1" applyFont="1" applyFill="1" applyBorder="1" applyAlignment="1">
      <alignment wrapText="1"/>
    </xf>
    <xf numFmtId="164" fontId="2"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2" borderId="0" xfId="0" applyFont="1" applyFill="1" applyBorder="1" applyAlignment="1">
      <alignment horizontal="center" vertical="center"/>
    </xf>
    <xf numFmtId="43" fontId="2" fillId="2" borderId="0" xfId="1" applyFont="1" applyFill="1" applyBorder="1" applyAlignment="1">
      <alignment horizontal="center" vertical="center" wrapText="1"/>
    </xf>
    <xf numFmtId="43" fontId="2" fillId="2" borderId="0" xfId="1" applyNumberFormat="1" applyFont="1" applyFill="1" applyBorder="1" applyAlignment="1">
      <alignment horizontal="center" vertical="center" wrapText="1"/>
    </xf>
    <xf numFmtId="0" fontId="2" fillId="0" borderId="0" xfId="5" applyFont="1" applyBorder="1" applyAlignment="1">
      <alignment horizontal="left" wrapText="1"/>
    </xf>
    <xf numFmtId="0" fontId="8" fillId="0" borderId="0" xfId="5" applyFont="1" applyBorder="1" applyAlignment="1">
      <alignment horizontal="left"/>
    </xf>
    <xf numFmtId="0" fontId="2" fillId="0" borderId="0" xfId="0" applyFont="1" applyBorder="1" applyAlignment="1">
      <alignment horizontal="left" vertical="center" indent="2"/>
    </xf>
    <xf numFmtId="0" fontId="2" fillId="0" borderId="0" xfId="0" applyFont="1" applyFill="1" applyBorder="1" applyAlignment="1">
      <alignment horizontal="left" vertical="center" indent="2"/>
    </xf>
    <xf numFmtId="164" fontId="2" fillId="0" borderId="0" xfId="1" applyNumberFormat="1" applyFont="1" applyFill="1" applyBorder="1" applyAlignment="1">
      <alignment wrapText="1"/>
    </xf>
    <xf numFmtId="43" fontId="2" fillId="0" borderId="0" xfId="1" applyNumberFormat="1" applyFont="1" applyBorder="1" applyAlignment="1">
      <alignment horizontal="center" vertical="center"/>
    </xf>
    <xf numFmtId="43" fontId="2" fillId="4" borderId="0" xfId="1" applyNumberFormat="1" applyFont="1" applyFill="1" applyBorder="1" applyAlignment="1">
      <alignment horizontal="center" vertical="center"/>
    </xf>
    <xf numFmtId="9" fontId="2" fillId="0" borderId="0" xfId="2" applyFont="1" applyAlignment="1">
      <alignment horizontal="center"/>
    </xf>
    <xf numFmtId="9" fontId="2" fillId="2" borderId="0" xfId="2" applyFont="1" applyFill="1" applyAlignment="1">
      <alignment horizontal="center"/>
    </xf>
    <xf numFmtId="0" fontId="2" fillId="0" borderId="0" xfId="5" applyFont="1" applyBorder="1" applyAlignment="1">
      <alignment wrapText="1"/>
    </xf>
    <xf numFmtId="170" fontId="2" fillId="0" borderId="0" xfId="0" applyNumberFormat="1" applyFont="1" applyFill="1" applyAlignment="1"/>
    <xf numFmtId="43" fontId="2" fillId="0" borderId="0" xfId="1" applyNumberFormat="1" applyFont="1" applyFill="1" applyAlignment="1"/>
    <xf numFmtId="43" fontId="2" fillId="0" borderId="0" xfId="1" applyNumberFormat="1" applyFont="1" applyFill="1" applyBorder="1" applyAlignment="1">
      <alignment horizontal="center" vertical="center"/>
    </xf>
    <xf numFmtId="169" fontId="2" fillId="0" borderId="0" xfId="1" applyNumberFormat="1" applyFont="1" applyBorder="1" applyAlignment="1">
      <alignment horizontal="center" vertical="center"/>
    </xf>
    <xf numFmtId="43" fontId="2" fillId="0" borderId="0" xfId="0" applyNumberFormat="1" applyFont="1" applyAlignment="1">
      <alignment horizontal="center"/>
    </xf>
    <xf numFmtId="169" fontId="8" fillId="2" borderId="0" xfId="1" applyNumberFormat="1" applyFont="1" applyFill="1" applyAlignment="1">
      <alignment horizontal="left"/>
    </xf>
    <xf numFmtId="0" fontId="2" fillId="0" borderId="0" xfId="0" applyFont="1" applyFill="1" applyAlignment="1">
      <alignment horizontal="left" vertical="center"/>
    </xf>
    <xf numFmtId="43" fontId="2" fillId="0" borderId="0" xfId="1" applyNumberFormat="1" applyFont="1" applyBorder="1" applyAlignment="1">
      <alignment horizontal="center" vertical="center" wrapText="1"/>
    </xf>
    <xf numFmtId="9" fontId="2" fillId="0" borderId="0" xfId="2" applyFont="1" applyAlignment="1">
      <alignment horizontal="center" vertical="center" wrapText="1"/>
    </xf>
    <xf numFmtId="10" fontId="2" fillId="0" borderId="0" xfId="2" applyNumberFormat="1" applyFont="1" applyAlignment="1"/>
    <xf numFmtId="10" fontId="2" fillId="0" borderId="0" xfId="0" applyNumberFormat="1" applyFont="1" applyAlignment="1"/>
    <xf numFmtId="0" fontId="8" fillId="0" borderId="0" xfId="0" applyFont="1" applyFill="1" applyAlignment="1">
      <alignment horizontal="center"/>
    </xf>
    <xf numFmtId="43" fontId="8" fillId="0" borderId="0" xfId="0" applyNumberFormat="1" applyFont="1" applyFill="1" applyAlignment="1"/>
    <xf numFmtId="0" fontId="0" fillId="0" borderId="0" xfId="0" applyFill="1"/>
    <xf numFmtId="0" fontId="0" fillId="0" borderId="0" xfId="0" applyAlignment="1">
      <alignment horizontal="center"/>
    </xf>
    <xf numFmtId="9" fontId="2" fillId="0" borderId="0" xfId="2" applyFont="1" applyAlignment="1"/>
    <xf numFmtId="169" fontId="0" fillId="0" borderId="0" xfId="0" applyNumberFormat="1" applyBorder="1"/>
    <xf numFmtId="170" fontId="2" fillId="0" borderId="0" xfId="1" applyNumberFormat="1" applyFont="1" applyBorder="1" applyAlignment="1">
      <alignment horizontal="center" vertical="center"/>
    </xf>
    <xf numFmtId="9" fontId="2" fillId="0" borderId="0" xfId="2" applyFont="1" applyFill="1" applyAlignment="1">
      <alignment horizontal="center"/>
    </xf>
    <xf numFmtId="2" fontId="2" fillId="0" borderId="0" xfId="0" applyNumberFormat="1" applyFont="1" applyAlignment="1"/>
    <xf numFmtId="168" fontId="2" fillId="0" borderId="0" xfId="1" applyNumberFormat="1" applyFont="1" applyAlignment="1"/>
    <xf numFmtId="43" fontId="2" fillId="0" borderId="0" xfId="1" applyFont="1" applyFill="1" applyBorder="1" applyAlignment="1">
      <alignment horizontal="center" vertical="center"/>
    </xf>
    <xf numFmtId="43" fontId="2" fillId="2" borderId="0" xfId="1" applyFont="1" applyFill="1" applyBorder="1" applyAlignment="1">
      <alignment horizontal="center" vertical="center"/>
    </xf>
    <xf numFmtId="0" fontId="2" fillId="8" borderId="0" xfId="0" applyFont="1" applyFill="1" applyAlignment="1">
      <alignment horizontal="center"/>
    </xf>
    <xf numFmtId="43" fontId="2" fillId="8" borderId="0" xfId="1" applyFont="1" applyFill="1" applyAlignment="1">
      <alignment horizontal="center"/>
    </xf>
    <xf numFmtId="0" fontId="2" fillId="8" borderId="0" xfId="0" applyFont="1" applyFill="1" applyAlignment="1"/>
    <xf numFmtId="0" fontId="8" fillId="8" borderId="0" xfId="0" applyFont="1" applyFill="1" applyAlignment="1">
      <alignment horizontal="center"/>
    </xf>
    <xf numFmtId="43" fontId="2" fillId="8" borderId="0" xfId="1" applyFont="1" applyFill="1" applyAlignment="1"/>
    <xf numFmtId="0" fontId="9" fillId="0" borderId="0" xfId="0" applyFont="1" applyFill="1" applyAlignment="1"/>
    <xf numFmtId="0" fontId="9" fillId="8" borderId="0" xfId="0" applyFont="1" applyFill="1" applyAlignment="1"/>
    <xf numFmtId="169" fontId="7"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69" fontId="0" fillId="0" borderId="0" xfId="1" applyNumberFormat="1" applyFont="1" applyBorder="1"/>
    <xf numFmtId="9" fontId="2" fillId="0" borderId="0" xfId="0" applyNumberFormat="1" applyFont="1" applyFill="1" applyBorder="1" applyAlignment="1">
      <alignment vertical="center"/>
    </xf>
    <xf numFmtId="0" fontId="6" fillId="0" borderId="0"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Border="1" applyAlignment="1">
      <alignment horizontal="center" vertical="center" wrapText="1"/>
    </xf>
    <xf numFmtId="43" fontId="2" fillId="2" borderId="0" xfId="2" applyNumberFormat="1" applyFont="1" applyFill="1" applyBorder="1" applyAlignment="1"/>
    <xf numFmtId="43" fontId="2" fillId="2" borderId="0" xfId="2" applyNumberFormat="1" applyFont="1" applyFill="1" applyAlignment="1"/>
    <xf numFmtId="43" fontId="8" fillId="2" borderId="0" xfId="2" applyNumberFormat="1" applyFont="1" applyFill="1" applyBorder="1" applyAlignment="1"/>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Alignment="1"/>
    <xf numFmtId="9" fontId="2" fillId="9" borderId="0" xfId="0" applyNumberFormat="1" applyFont="1" applyFill="1" applyAlignment="1"/>
    <xf numFmtId="0" fontId="1" fillId="9" borderId="0" xfId="0" applyFont="1" applyFill="1" applyAlignment="1"/>
    <xf numFmtId="164" fontId="12" fillId="0" borderId="0" xfId="1" applyNumberFormat="1" applyFont="1" applyFill="1" applyBorder="1" applyAlignment="1">
      <alignment horizontal="center" vertical="center"/>
    </xf>
    <xf numFmtId="0" fontId="6" fillId="0" borderId="0"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Alignment="1">
      <alignment wrapText="1"/>
    </xf>
    <xf numFmtId="0" fontId="1" fillId="0" borderId="0" xfId="0" applyFont="1" applyFill="1" applyAlignment="1"/>
    <xf numFmtId="9" fontId="1" fillId="0" borderId="0" xfId="0" applyNumberFormat="1" applyFont="1" applyFill="1" applyAlignment="1"/>
    <xf numFmtId="0" fontId="5" fillId="0" borderId="0" xfId="3" applyAlignment="1"/>
    <xf numFmtId="43" fontId="1" fillId="0" borderId="0" xfId="1" applyFont="1" applyFill="1" applyAlignment="1"/>
    <xf numFmtId="9" fontId="2" fillId="0" borderId="0" xfId="1" applyNumberFormat="1" applyFont="1" applyFill="1" applyAlignment="1"/>
    <xf numFmtId="0" fontId="5" fillId="0" borderId="0" xfId="3" applyFill="1" applyAlignment="1"/>
    <xf numFmtId="0" fontId="6" fillId="0" borderId="0" xfId="0" applyFont="1" applyBorder="1" applyAlignment="1">
      <alignment horizontal="center" vertical="center" wrapText="1"/>
    </xf>
    <xf numFmtId="0" fontId="0" fillId="0" borderId="0" xfId="0" applyAlignment="1">
      <alignment horizontal="center" wrapText="1"/>
    </xf>
    <xf numFmtId="43" fontId="0" fillId="0" borderId="0" xfId="0" applyNumberFormat="1"/>
    <xf numFmtId="0" fontId="1" fillId="0" borderId="0" xfId="0" applyFont="1" applyFill="1" applyAlignment="1">
      <alignment horizontal="center"/>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3" fontId="2" fillId="0" borderId="0" xfId="1" applyNumberFormat="1" applyFont="1" applyFill="1" applyBorder="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left" vertical="center"/>
    </xf>
    <xf numFmtId="0" fontId="1" fillId="9" borderId="0" xfId="0" applyFont="1" applyFill="1" applyBorder="1" applyAlignment="1">
      <alignment vertical="center"/>
    </xf>
    <xf numFmtId="0" fontId="1" fillId="0" borderId="0" xfId="0" applyFont="1" applyFill="1" applyBorder="1" applyAlignment="1">
      <alignment horizontal="center" vertical="center"/>
    </xf>
    <xf numFmtId="169" fontId="2" fillId="2" borderId="0" xfId="1" applyNumberFormat="1" applyFont="1" applyFill="1" applyBorder="1" applyAlignment="1">
      <alignment horizontal="center" vertical="center"/>
    </xf>
    <xf numFmtId="164" fontId="1" fillId="0" borderId="0" xfId="1" applyNumberFormat="1" applyFont="1" applyBorder="1" applyAlignment="1">
      <alignment horizontal="center" vertical="center"/>
    </xf>
    <xf numFmtId="0" fontId="1" fillId="0" borderId="0" xfId="0" applyFont="1" applyBorder="1" applyAlignment="1">
      <alignment horizontal="center" vertical="center"/>
    </xf>
    <xf numFmtId="171" fontId="2" fillId="0" borderId="0" xfId="0" applyNumberFormat="1" applyFont="1" applyAlignment="1"/>
    <xf numFmtId="169" fontId="2" fillId="0" borderId="0" xfId="1" applyNumberFormat="1" applyFont="1" applyFill="1" applyBorder="1" applyAlignment="1">
      <alignment horizontal="center" vertical="center"/>
    </xf>
    <xf numFmtId="165" fontId="2" fillId="2" borderId="0" xfId="2" applyNumberFormat="1" applyFont="1" applyFill="1" applyAlignment="1"/>
    <xf numFmtId="168" fontId="2" fillId="2" borderId="0" xfId="2" applyNumberFormat="1" applyFont="1" applyFill="1" applyAlignment="1"/>
    <xf numFmtId="166" fontId="2" fillId="2" borderId="0" xfId="2" applyNumberFormat="1" applyFont="1" applyFill="1" applyAlignment="1">
      <alignment horizontal="center"/>
    </xf>
    <xf numFmtId="172" fontId="2" fillId="2" borderId="0" xfId="2" applyNumberFormat="1" applyFont="1" applyFill="1" applyAlignment="1"/>
    <xf numFmtId="43" fontId="8" fillId="0" borderId="0" xfId="2" applyNumberFormat="1" applyFont="1" applyFill="1" applyBorder="1" applyAlignment="1"/>
    <xf numFmtId="43" fontId="2" fillId="0" borderId="0" xfId="2" applyNumberFormat="1" applyFont="1" applyFill="1" applyAlignment="1"/>
    <xf numFmtId="0" fontId="9" fillId="0" borderId="0" xfId="0" applyFont="1" applyFill="1" applyAlignment="1" applyProtection="1">
      <alignment horizontal="left"/>
      <protection locked="0"/>
    </xf>
    <xf numFmtId="166" fontId="2" fillId="2" borderId="0" xfId="2" applyNumberFormat="1" applyFont="1" applyFill="1" applyAlignment="1"/>
    <xf numFmtId="9" fontId="8" fillId="2" borderId="0" xfId="2" applyFont="1" applyFill="1" applyBorder="1" applyAlignment="1"/>
    <xf numFmtId="167" fontId="8" fillId="2" borderId="0" xfId="2" applyNumberFormat="1" applyFont="1" applyFill="1" applyBorder="1" applyAlignment="1"/>
    <xf numFmtId="166" fontId="8" fillId="2" borderId="0" xfId="2" applyNumberFormat="1" applyFont="1" applyFill="1" applyBorder="1" applyAlignment="1"/>
    <xf numFmtId="165" fontId="2" fillId="0" borderId="0" xfId="0" applyNumberFormat="1" applyFont="1" applyAlignment="1"/>
    <xf numFmtId="168" fontId="2" fillId="0" borderId="0" xfId="0" applyNumberFormat="1" applyFont="1" applyAlignment="1"/>
    <xf numFmtId="165" fontId="2" fillId="0" borderId="0" xfId="0" applyNumberFormat="1" applyFont="1" applyFill="1" applyAlignment="1"/>
    <xf numFmtId="2" fontId="1" fillId="0" borderId="0" xfId="0" applyNumberFormat="1" applyFont="1" applyAlignment="1"/>
    <xf numFmtId="43" fontId="1" fillId="0" borderId="0" xfId="1" applyNumberFormat="1" applyFont="1" applyFill="1" applyAlignment="1"/>
    <xf numFmtId="164" fontId="2" fillId="0" borderId="0" xfId="0" applyNumberFormat="1" applyFont="1" applyAlignment="1">
      <alignment horizontal="center"/>
    </xf>
    <xf numFmtId="165" fontId="0" fillId="0" borderId="0" xfId="1" applyNumberFormat="1" applyFont="1"/>
    <xf numFmtId="165" fontId="2" fillId="0" borderId="0" xfId="1" applyNumberFormat="1" applyFont="1" applyAlignment="1"/>
    <xf numFmtId="43" fontId="2" fillId="0" borderId="0" xfId="1" applyNumberFormat="1" applyFont="1" applyAlignment="1"/>
    <xf numFmtId="9" fontId="2" fillId="0" borderId="0" xfId="2" applyNumberFormat="1" applyFont="1" applyAlignment="1"/>
    <xf numFmtId="9" fontId="2" fillId="10" borderId="0" xfId="2" applyNumberFormat="1" applyFont="1" applyFill="1" applyAlignment="1"/>
    <xf numFmtId="9" fontId="2" fillId="0" borderId="0" xfId="2" applyFont="1" applyFill="1" applyAlignment="1"/>
    <xf numFmtId="43" fontId="1" fillId="0" borderId="0" xfId="1" applyFont="1" applyAlignment="1"/>
    <xf numFmtId="164" fontId="1" fillId="0" borderId="0" xfId="1" applyNumberFormat="1" applyFont="1" applyAlignment="1"/>
    <xf numFmtId="0" fontId="1" fillId="0" borderId="0" xfId="0" applyFont="1"/>
    <xf numFmtId="9" fontId="1" fillId="0" borderId="0" xfId="1" applyNumberFormat="1" applyFont="1" applyFill="1" applyAlignment="1"/>
    <xf numFmtId="164" fontId="1" fillId="0" borderId="0" xfId="1" applyNumberFormat="1" applyFont="1" applyFill="1" applyAlignment="1"/>
    <xf numFmtId="9" fontId="1" fillId="0" borderId="0" xfId="0" applyNumberFormat="1" applyFont="1"/>
    <xf numFmtId="43" fontId="1" fillId="0" borderId="0" xfId="1" applyFont="1"/>
    <xf numFmtId="0" fontId="1" fillId="0" borderId="0" xfId="0" applyFont="1" applyAlignment="1">
      <alignment horizontal="center"/>
    </xf>
    <xf numFmtId="169" fontId="2" fillId="0" borderId="0" xfId="1" applyNumberFormat="1" applyFont="1" applyFill="1" applyAlignment="1"/>
    <xf numFmtId="166" fontId="2" fillId="0" borderId="0" xfId="2" applyNumberFormat="1" applyFont="1" applyFill="1" applyAlignment="1">
      <alignment horizontal="center"/>
    </xf>
    <xf numFmtId="0" fontId="5" fillId="0" borderId="0" xfId="3"/>
    <xf numFmtId="0" fontId="1" fillId="11" borderId="0" xfId="0" applyFont="1" applyFill="1" applyAlignment="1">
      <alignment horizontal="center"/>
    </xf>
    <xf numFmtId="0" fontId="15" fillId="0" borderId="0" xfId="0" applyFont="1"/>
    <xf numFmtId="9" fontId="2" fillId="10" borderId="0" xfId="2" applyFont="1" applyFill="1" applyAlignment="1"/>
    <xf numFmtId="166" fontId="2" fillId="10" borderId="0" xfId="2" applyNumberFormat="1" applyFont="1" applyFill="1" applyAlignment="1"/>
    <xf numFmtId="0" fontId="2" fillId="0" borderId="0" xfId="0" applyFont="1" applyBorder="1" applyAlignment="1">
      <alignment horizontal="center"/>
    </xf>
    <xf numFmtId="0" fontId="1" fillId="0" borderId="0" xfId="0" applyFont="1" applyBorder="1" applyAlignment="1">
      <alignment horizontal="center"/>
    </xf>
    <xf numFmtId="0" fontId="13" fillId="0" borderId="0" xfId="0" applyFont="1" applyBorder="1" applyAlignment="1">
      <alignment horizontal="right" vertical="center"/>
    </xf>
    <xf numFmtId="43" fontId="2" fillId="0" borderId="0" xfId="1" applyNumberFormat="1" applyFont="1" applyBorder="1" applyAlignment="1">
      <alignment horizontal="right" vertical="center"/>
    </xf>
    <xf numFmtId="164" fontId="2" fillId="0" borderId="0" xfId="1" applyNumberFormat="1" applyFont="1" applyBorder="1" applyAlignment="1">
      <alignment horizontal="right" vertical="center" wrapText="1"/>
    </xf>
    <xf numFmtId="164" fontId="2" fillId="0" borderId="0" xfId="1" applyNumberFormat="1" applyFont="1" applyBorder="1" applyAlignment="1">
      <alignment horizontal="right" vertical="center"/>
    </xf>
    <xf numFmtId="164" fontId="2" fillId="0" borderId="0" xfId="1" applyNumberFormat="1" applyFont="1" applyFill="1" applyBorder="1" applyAlignment="1">
      <alignment horizontal="right" vertical="center"/>
    </xf>
    <xf numFmtId="3" fontId="13" fillId="0" borderId="0" xfId="0" applyNumberFormat="1" applyFont="1" applyBorder="1" applyAlignment="1">
      <alignment horizontal="right" vertical="center"/>
    </xf>
    <xf numFmtId="165" fontId="2" fillId="0" borderId="0" xfId="1" applyNumberFormat="1" applyFont="1" applyBorder="1" applyAlignment="1">
      <alignment horizontal="right" vertical="center"/>
    </xf>
    <xf numFmtId="164" fontId="2" fillId="0" borderId="0" xfId="1" applyNumberFormat="1" applyFont="1" applyFill="1" applyBorder="1" applyAlignment="1">
      <alignment horizontal="right" vertical="center" wrapText="1"/>
    </xf>
    <xf numFmtId="164" fontId="2" fillId="0" borderId="0" xfId="1" applyNumberFormat="1" applyFont="1" applyAlignment="1">
      <alignment horizontal="right"/>
    </xf>
    <xf numFmtId="0" fontId="2" fillId="0" borderId="0" xfId="0" applyFont="1" applyAlignment="1">
      <alignment horizontal="right"/>
    </xf>
    <xf numFmtId="0" fontId="1" fillId="0" borderId="0" xfId="0" applyFont="1" applyAlignment="1">
      <alignment horizontal="right"/>
    </xf>
    <xf numFmtId="0" fontId="1" fillId="12" borderId="0" xfId="0" applyFont="1" applyFill="1" applyBorder="1" applyAlignment="1">
      <alignment vertical="center"/>
    </xf>
    <xf numFmtId="0" fontId="2" fillId="12" borderId="0" xfId="0" applyFont="1" applyFill="1" applyBorder="1" applyAlignment="1">
      <alignment vertical="center"/>
    </xf>
    <xf numFmtId="0" fontId="2" fillId="13" borderId="0" xfId="0" applyFont="1" applyFill="1" applyAlignment="1"/>
    <xf numFmtId="0" fontId="1" fillId="13" borderId="0" xfId="0" applyFont="1" applyFill="1" applyBorder="1" applyAlignment="1">
      <alignment vertical="center"/>
    </xf>
    <xf numFmtId="0" fontId="2" fillId="13" borderId="0" xfId="0" applyFont="1" applyFill="1" applyBorder="1" applyAlignment="1">
      <alignment vertical="center"/>
    </xf>
    <xf numFmtId="0" fontId="2" fillId="12" borderId="0" xfId="0" applyFont="1" applyFill="1" applyBorder="1" applyAlignment="1">
      <alignment horizontal="center" vertical="center"/>
    </xf>
    <xf numFmtId="0" fontId="1" fillId="13" borderId="0" xfId="0" applyFont="1" applyFill="1" applyAlignment="1">
      <alignment horizontal="center"/>
    </xf>
    <xf numFmtId="0" fontId="1"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1" fillId="8" borderId="0" xfId="0" applyFont="1" applyFill="1" applyBorder="1" applyAlignment="1">
      <alignment vertical="center"/>
    </xf>
    <xf numFmtId="0" fontId="2" fillId="8" borderId="0" xfId="0" applyFont="1" applyFill="1" applyBorder="1" applyAlignment="1">
      <alignment vertical="center"/>
    </xf>
    <xf numFmtId="0" fontId="11" fillId="8" borderId="0" xfId="0" applyFont="1" applyFill="1" applyAlignment="1">
      <alignment horizontal="center"/>
    </xf>
    <xf numFmtId="0" fontId="2"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vertical="center"/>
    </xf>
    <xf numFmtId="0" fontId="1" fillId="11" borderId="0" xfId="0" applyFont="1" applyFill="1" applyBorder="1" applyAlignment="1">
      <alignment horizontal="left" vertical="center" wrapText="1"/>
    </xf>
    <xf numFmtId="0" fontId="2" fillId="11" borderId="0" xfId="0" applyFont="1" applyFill="1" applyBorder="1" applyAlignment="1">
      <alignment horizontal="center" vertical="center"/>
    </xf>
    <xf numFmtId="0" fontId="11" fillId="11" borderId="0" xfId="0" applyFont="1" applyFill="1" applyAlignment="1">
      <alignment horizontal="center"/>
    </xf>
    <xf numFmtId="0" fontId="2" fillId="2" borderId="0" xfId="0" applyFont="1" applyFill="1" applyAlignment="1"/>
    <xf numFmtId="0" fontId="2" fillId="14" borderId="0" xfId="0" applyFont="1" applyFill="1" applyBorder="1" applyAlignment="1">
      <alignment horizontal="left" vertical="center" wrapText="1"/>
    </xf>
    <xf numFmtId="164" fontId="2" fillId="14" borderId="0" xfId="1" applyNumberFormat="1" applyFont="1" applyFill="1" applyBorder="1" applyAlignment="1">
      <alignment horizontal="center" vertical="center" wrapText="1"/>
    </xf>
    <xf numFmtId="0" fontId="0" fillId="14" borderId="0" xfId="0" applyFill="1"/>
    <xf numFmtId="0" fontId="2" fillId="13" borderId="0" xfId="0" applyFont="1" applyFill="1" applyBorder="1" applyAlignment="1">
      <alignment horizontal="center" vertical="center" wrapText="1"/>
    </xf>
    <xf numFmtId="0" fontId="2" fillId="13" borderId="0" xfId="0" applyFont="1" applyFill="1" applyAlignment="1">
      <alignment horizontal="center"/>
    </xf>
    <xf numFmtId="0" fontId="1" fillId="11" borderId="0" xfId="0" applyFont="1" applyFill="1" applyBorder="1" applyAlignment="1">
      <alignment vertical="center"/>
    </xf>
    <xf numFmtId="0" fontId="1" fillId="11" borderId="0" xfId="0" applyFont="1" applyFill="1" applyAlignment="1"/>
    <xf numFmtId="0" fontId="1" fillId="11" borderId="0" xfId="0" applyFont="1" applyFill="1" applyBorder="1" applyAlignment="1">
      <alignment horizontal="center" vertical="center"/>
    </xf>
    <xf numFmtId="0" fontId="2" fillId="11" borderId="0" xfId="0" applyFont="1" applyFill="1" applyAlignment="1">
      <alignment horizontal="center"/>
    </xf>
    <xf numFmtId="0" fontId="6" fillId="0" borderId="0" xfId="0" applyFont="1" applyBorder="1" applyAlignment="1">
      <alignment horizontal="center" vertical="center" wrapText="1"/>
    </xf>
    <xf numFmtId="0" fontId="0" fillId="0" borderId="0" xfId="0" applyBorder="1" applyAlignment="1">
      <alignment horizontal="center" vertical="center" wrapText="1"/>
    </xf>
  </cellXfs>
  <cellStyles count="9">
    <cellStyle name="Comma" xfId="1" builtinId="3"/>
    <cellStyle name="Comma 2" xfId="7" xr:uid="{694FB38A-7394-2C43-B512-079629B5D98B}"/>
    <cellStyle name="Comma 4" xfId="4" xr:uid="{B834848C-0392-2E4C-80E7-97ECEE452226}"/>
    <cellStyle name="Hyperlink" xfId="3" builtinId="8"/>
    <cellStyle name="Normal" xfId="0" builtinId="0"/>
    <cellStyle name="Normal 2" xfId="6" xr:uid="{D6A14094-0205-B147-A19F-53974C2AC9EA}"/>
    <cellStyle name="Normal 4" xfId="5" xr:uid="{B11E4334-7884-4647-8574-6D91C1A32E2B}"/>
    <cellStyle name="Percent" xfId="2" builtinId="5"/>
    <cellStyle name="Percent 2" xfId="8" xr:uid="{D390DFFE-5C1D-CB47-9DF9-08BC88A83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Emissions by Source, US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94326996346301"/>
          <c:y val="0.2024563318777293"/>
          <c:w val="0.82676055515315794"/>
          <c:h val="0.6351163050579377"/>
        </c:manualLayout>
      </c:layout>
      <c:barChart>
        <c:barDir val="col"/>
        <c:grouping val="stacked"/>
        <c:varyColors val="0"/>
        <c:ser>
          <c:idx val="2"/>
          <c:order val="0"/>
          <c:tx>
            <c:strRef>
              <c:f>'NG Parameters'!$A$59</c:f>
              <c:strCache>
                <c:ptCount val="1"/>
                <c:pt idx="0">
                  <c:v>Power Plant CO2</c:v>
                </c:pt>
              </c:strCache>
            </c:strRef>
          </c:tx>
          <c:spPr>
            <a:solidFill>
              <a:schemeClr val="accent3"/>
            </a:solidFill>
            <a:ln>
              <a:noFill/>
            </a:ln>
            <a:effectLst/>
          </c:spPr>
          <c:invertIfNegative val="0"/>
          <c:cat>
            <c:numRef>
              <c:f>'NG Parameters'!$B$2:$G$2</c:f>
              <c:numCache>
                <c:formatCode>General</c:formatCode>
                <c:ptCount val="6"/>
                <c:pt idx="0">
                  <c:v>1</c:v>
                </c:pt>
                <c:pt idx="1">
                  <c:v>2</c:v>
                </c:pt>
                <c:pt idx="2">
                  <c:v>3</c:v>
                </c:pt>
                <c:pt idx="3">
                  <c:v>4</c:v>
                </c:pt>
                <c:pt idx="4">
                  <c:v>5</c:v>
                </c:pt>
                <c:pt idx="5">
                  <c:v>6</c:v>
                </c:pt>
              </c:numCache>
            </c:numRef>
          </c:cat>
          <c:val>
            <c:numRef>
              <c:f>'NG Parameters'!$B$65:$G$65</c:f>
              <c:numCache>
                <c:formatCode>_(* #,##0_);_(* \(#,##0\);_(* "-"??_);_(@_)</c:formatCode>
                <c:ptCount val="6"/>
                <c:pt idx="0">
                  <c:v>386.24299999999999</c:v>
                </c:pt>
                <c:pt idx="1">
                  <c:v>386.24299999999999</c:v>
                </c:pt>
                <c:pt idx="2">
                  <c:v>386.24299999999999</c:v>
                </c:pt>
                <c:pt idx="3">
                  <c:v>363.23726358148895</c:v>
                </c:pt>
                <c:pt idx="4">
                  <c:v>363.23726358148895</c:v>
                </c:pt>
                <c:pt idx="5">
                  <c:v>363.23726358148895</c:v>
                </c:pt>
              </c:numCache>
            </c:numRef>
          </c:val>
          <c:extLst>
            <c:ext xmlns:c16="http://schemas.microsoft.com/office/drawing/2014/chart" uri="{C3380CC4-5D6E-409C-BE32-E72D297353CC}">
              <c16:uniqueId val="{00000000-D8EB-844E-B171-2BFC21FC12FE}"/>
            </c:ext>
          </c:extLst>
        </c:ser>
        <c:ser>
          <c:idx val="1"/>
          <c:order val="1"/>
          <c:tx>
            <c:strRef>
              <c:f>'NG Parameters'!$A$58</c:f>
              <c:strCache>
                <c:ptCount val="1"/>
                <c:pt idx="0">
                  <c:v>Upstream CO2</c:v>
                </c:pt>
              </c:strCache>
            </c:strRef>
          </c:tx>
          <c:spPr>
            <a:solidFill>
              <a:schemeClr val="accent2"/>
            </a:solidFill>
            <a:ln>
              <a:noFill/>
            </a:ln>
            <a:effectLst/>
          </c:spPr>
          <c:invertIfNegative val="0"/>
          <c:cat>
            <c:numRef>
              <c:f>'NG Parameters'!$B$2:$G$2</c:f>
              <c:numCache>
                <c:formatCode>General</c:formatCode>
                <c:ptCount val="6"/>
                <c:pt idx="0">
                  <c:v>1</c:v>
                </c:pt>
                <c:pt idx="1">
                  <c:v>2</c:v>
                </c:pt>
                <c:pt idx="2">
                  <c:v>3</c:v>
                </c:pt>
                <c:pt idx="3">
                  <c:v>4</c:v>
                </c:pt>
                <c:pt idx="4">
                  <c:v>5</c:v>
                </c:pt>
                <c:pt idx="5">
                  <c:v>6</c:v>
                </c:pt>
              </c:numCache>
            </c:numRef>
          </c:cat>
          <c:val>
            <c:numRef>
              <c:f>'NG Parameters'!$B$64:$G$64</c:f>
              <c:numCache>
                <c:formatCode>_(* #,##0_);_(* \(#,##0\);_(* "-"??_);_(@_)</c:formatCode>
                <c:ptCount val="6"/>
                <c:pt idx="0">
                  <c:v>48.926940745086043</c:v>
                </c:pt>
                <c:pt idx="1">
                  <c:v>77.190283938483162</c:v>
                </c:pt>
                <c:pt idx="2">
                  <c:v>17.95391646175878</c:v>
                </c:pt>
                <c:pt idx="3">
                  <c:v>97.069803756598645</c:v>
                </c:pt>
                <c:pt idx="4">
                  <c:v>89.229017929409736</c:v>
                </c:pt>
                <c:pt idx="5">
                  <c:v>88.847245021366575</c:v>
                </c:pt>
              </c:numCache>
            </c:numRef>
          </c:val>
          <c:extLst>
            <c:ext xmlns:c16="http://schemas.microsoft.com/office/drawing/2014/chart" uri="{C3380CC4-5D6E-409C-BE32-E72D297353CC}">
              <c16:uniqueId val="{00000001-D8EB-844E-B171-2BFC21FC12FE}"/>
            </c:ext>
          </c:extLst>
        </c:ser>
        <c:ser>
          <c:idx val="0"/>
          <c:order val="2"/>
          <c:tx>
            <c:strRef>
              <c:f>'NG Parameters'!$A$57</c:f>
              <c:strCache>
                <c:ptCount val="1"/>
                <c:pt idx="0">
                  <c:v>Upstream CH4</c:v>
                </c:pt>
              </c:strCache>
            </c:strRef>
          </c:tx>
          <c:spPr>
            <a:solidFill>
              <a:schemeClr val="accent1"/>
            </a:solidFill>
            <a:ln>
              <a:noFill/>
            </a:ln>
            <a:effectLst/>
          </c:spPr>
          <c:invertIfNegative val="0"/>
          <c:cat>
            <c:numRef>
              <c:f>'NG Parameters'!$B$2:$G$2</c:f>
              <c:numCache>
                <c:formatCode>General</c:formatCode>
                <c:ptCount val="6"/>
                <c:pt idx="0">
                  <c:v>1</c:v>
                </c:pt>
                <c:pt idx="1">
                  <c:v>2</c:v>
                </c:pt>
                <c:pt idx="2">
                  <c:v>3</c:v>
                </c:pt>
                <c:pt idx="3">
                  <c:v>4</c:v>
                </c:pt>
                <c:pt idx="4">
                  <c:v>5</c:v>
                </c:pt>
                <c:pt idx="5">
                  <c:v>6</c:v>
                </c:pt>
              </c:numCache>
            </c:numRef>
          </c:cat>
          <c:val>
            <c:numRef>
              <c:f>'NG Parameters'!$B$63:$G$63</c:f>
              <c:numCache>
                <c:formatCode>_(* #,##0_);_(* \(#,##0\);_(* "-"??_);_(@_)</c:formatCode>
                <c:ptCount val="6"/>
                <c:pt idx="0">
                  <c:v>245.96484451678594</c:v>
                </c:pt>
                <c:pt idx="1">
                  <c:v>335.55455951238133</c:v>
                </c:pt>
                <c:pt idx="2">
                  <c:v>166.73373328681805</c:v>
                </c:pt>
                <c:pt idx="3">
                  <c:v>291.32884168561321</c:v>
                </c:pt>
                <c:pt idx="4">
                  <c:v>164.75394456061878</c:v>
                </c:pt>
                <c:pt idx="5">
                  <c:v>255.74170357218054</c:v>
                </c:pt>
              </c:numCache>
            </c:numRef>
          </c:val>
          <c:extLst>
            <c:ext xmlns:c16="http://schemas.microsoft.com/office/drawing/2014/chart" uri="{C3380CC4-5D6E-409C-BE32-E72D297353CC}">
              <c16:uniqueId val="{00000002-D8EB-844E-B171-2BFC21FC12FE}"/>
            </c:ext>
          </c:extLst>
        </c:ser>
        <c:dLbls>
          <c:showLegendKey val="0"/>
          <c:showVal val="0"/>
          <c:showCatName val="0"/>
          <c:showSerName val="0"/>
          <c:showPercent val="0"/>
          <c:showBubbleSize val="0"/>
        </c:dLbls>
        <c:gapWidth val="150"/>
        <c:overlap val="100"/>
        <c:axId val="354196111"/>
        <c:axId val="415724895"/>
      </c:barChart>
      <c:catAx>
        <c:axId val="354196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724895"/>
        <c:crosses val="autoZero"/>
        <c:auto val="1"/>
        <c:lblAlgn val="ctr"/>
        <c:lblOffset val="100"/>
        <c:noMultiLvlLbl val="0"/>
      </c:catAx>
      <c:valAx>
        <c:axId val="415724895"/>
        <c:scaling>
          <c:orientation val="minMax"/>
          <c:max val="12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 CO2e/kWh (20 yr GWP)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196111"/>
        <c:crosses val="autoZero"/>
        <c:crossBetween val="between"/>
      </c:valAx>
      <c:spPr>
        <a:noFill/>
        <a:ln>
          <a:noFill/>
        </a:ln>
        <a:effectLst/>
      </c:spPr>
    </c:plotArea>
    <c:legend>
      <c:legendPos val="b"/>
      <c:layout>
        <c:manualLayout>
          <c:xMode val="edge"/>
          <c:yMode val="edge"/>
          <c:x val="0.64945178847340612"/>
          <c:y val="0.17644586184368874"/>
          <c:w val="0.29708307851081722"/>
          <c:h val="0.168532304095175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Emissions</a:t>
            </a:r>
            <a:r>
              <a:rPr lang="en-US" baseline="0"/>
              <a:t> by source</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79869508823876"/>
          <c:y val="0.20245633187772927"/>
          <c:w val="0.85732276913805072"/>
          <c:h val="0.6351163050579377"/>
        </c:manualLayout>
      </c:layout>
      <c:barChart>
        <c:barDir val="col"/>
        <c:grouping val="stacked"/>
        <c:varyColors val="0"/>
        <c:ser>
          <c:idx val="0"/>
          <c:order val="0"/>
          <c:tx>
            <c:strRef>
              <c:f>'Coal Parameters'!$A$29</c:f>
              <c:strCache>
                <c:ptCount val="1"/>
                <c:pt idx="0">
                  <c:v>Power Plant CO2</c:v>
                </c:pt>
              </c:strCache>
            </c:strRef>
          </c:tx>
          <c:spPr>
            <a:solidFill>
              <a:schemeClr val="bg1">
                <a:lumMod val="65000"/>
              </a:schemeClr>
            </a:solidFill>
            <a:ln>
              <a:noFill/>
            </a:ln>
            <a:effectLst/>
          </c:spPr>
          <c:invertIfNegative val="0"/>
          <c:cat>
            <c:numRef>
              <c:f>'Coal Parameters'!$B$2:$D$2</c:f>
              <c:numCache>
                <c:formatCode>General</c:formatCode>
                <c:ptCount val="3"/>
                <c:pt idx="0">
                  <c:v>1</c:v>
                </c:pt>
                <c:pt idx="1">
                  <c:v>2</c:v>
                </c:pt>
                <c:pt idx="2">
                  <c:v>3</c:v>
                </c:pt>
              </c:numCache>
            </c:numRef>
          </c:cat>
          <c:val>
            <c:numRef>
              <c:f>'Coal Parameters'!$B$29:$D$29</c:f>
              <c:numCache>
                <c:formatCode>_(* #,##0_);_(* \(#,##0\);_(* "-"??_);_(@_)</c:formatCode>
                <c:ptCount val="3"/>
                <c:pt idx="0">
                  <c:v>1013.6426666666665</c:v>
                </c:pt>
                <c:pt idx="1">
                  <c:v>1013.6426666666665</c:v>
                </c:pt>
                <c:pt idx="2">
                  <c:v>1013.6426666666665</c:v>
                </c:pt>
              </c:numCache>
            </c:numRef>
          </c:val>
          <c:extLst>
            <c:ext xmlns:c16="http://schemas.microsoft.com/office/drawing/2014/chart" uri="{C3380CC4-5D6E-409C-BE32-E72D297353CC}">
              <c16:uniqueId val="{00000002-7494-C945-852D-0D0A3900F7B1}"/>
            </c:ext>
          </c:extLst>
        </c:ser>
        <c:ser>
          <c:idx val="1"/>
          <c:order val="1"/>
          <c:tx>
            <c:strRef>
              <c:f>'Coal Parameters'!$A$28</c:f>
              <c:strCache>
                <c:ptCount val="1"/>
                <c:pt idx="0">
                  <c:v>Upstream CO2</c:v>
                </c:pt>
              </c:strCache>
            </c:strRef>
          </c:tx>
          <c:spPr>
            <a:solidFill>
              <a:schemeClr val="accent2"/>
            </a:solidFill>
            <a:ln>
              <a:noFill/>
            </a:ln>
            <a:effectLst/>
          </c:spPr>
          <c:invertIfNegative val="0"/>
          <c:cat>
            <c:numRef>
              <c:f>'Coal Parameters'!$B$2:$D$2</c:f>
              <c:numCache>
                <c:formatCode>General</c:formatCode>
                <c:ptCount val="3"/>
                <c:pt idx="0">
                  <c:v>1</c:v>
                </c:pt>
                <c:pt idx="1">
                  <c:v>2</c:v>
                </c:pt>
                <c:pt idx="2">
                  <c:v>3</c:v>
                </c:pt>
              </c:numCache>
            </c:numRef>
          </c:cat>
          <c:val>
            <c:numRef>
              <c:f>'Coal Parameters'!$B$28:$D$28</c:f>
              <c:numCache>
                <c:formatCode>_(* #,##0_);_(* \(#,##0\);_(* "-"??_);_(@_)</c:formatCode>
                <c:ptCount val="3"/>
                <c:pt idx="0">
                  <c:v>8.90182261047255</c:v>
                </c:pt>
                <c:pt idx="1">
                  <c:v>1.3510583333333335</c:v>
                </c:pt>
                <c:pt idx="2">
                  <c:v>18.265838034453324</c:v>
                </c:pt>
              </c:numCache>
            </c:numRef>
          </c:val>
          <c:extLst>
            <c:ext xmlns:c16="http://schemas.microsoft.com/office/drawing/2014/chart" uri="{C3380CC4-5D6E-409C-BE32-E72D297353CC}">
              <c16:uniqueId val="{00000001-7494-C945-852D-0D0A3900F7B1}"/>
            </c:ext>
          </c:extLst>
        </c:ser>
        <c:ser>
          <c:idx val="2"/>
          <c:order val="2"/>
          <c:tx>
            <c:strRef>
              <c:f>'Coal Parameters'!$A$27</c:f>
              <c:strCache>
                <c:ptCount val="1"/>
                <c:pt idx="0">
                  <c:v>Upstream CH4</c:v>
                </c:pt>
              </c:strCache>
            </c:strRef>
          </c:tx>
          <c:spPr>
            <a:solidFill>
              <a:schemeClr val="accent1"/>
            </a:solidFill>
            <a:ln>
              <a:noFill/>
            </a:ln>
            <a:effectLst/>
          </c:spPr>
          <c:invertIfNegative val="0"/>
          <c:errBars>
            <c:errBarType val="both"/>
            <c:errValType val="cust"/>
            <c:noEndCap val="0"/>
            <c:plus>
              <c:numRef>
                <c:f>'Coal Parameters'!$B$35:$D$35</c:f>
                <c:numCache>
                  <c:formatCode>General</c:formatCode>
                  <c:ptCount val="3"/>
                </c:numCache>
              </c:numRef>
            </c:plus>
            <c:minus>
              <c:numRef>
                <c:f>'Coal Parameters'!$B$34:$D$34</c:f>
                <c:numCache>
                  <c:formatCode>General</c:formatCode>
                  <c:ptCount val="3"/>
                </c:numCache>
              </c:numRef>
            </c:minus>
            <c:spPr>
              <a:noFill/>
              <a:ln w="9525" cap="flat" cmpd="sng" algn="ctr">
                <a:solidFill>
                  <a:schemeClr val="tx1">
                    <a:lumMod val="65000"/>
                    <a:lumOff val="35000"/>
                  </a:schemeClr>
                </a:solidFill>
                <a:round/>
              </a:ln>
              <a:effectLst/>
            </c:spPr>
          </c:errBars>
          <c:cat>
            <c:numRef>
              <c:f>'Coal Parameters'!$B$2:$D$2</c:f>
              <c:numCache>
                <c:formatCode>General</c:formatCode>
                <c:ptCount val="3"/>
                <c:pt idx="0">
                  <c:v>1</c:v>
                </c:pt>
                <c:pt idx="1">
                  <c:v>2</c:v>
                </c:pt>
                <c:pt idx="2">
                  <c:v>3</c:v>
                </c:pt>
              </c:numCache>
            </c:numRef>
          </c:cat>
          <c:val>
            <c:numRef>
              <c:f>'Coal Parameters'!$B$27:$D$27</c:f>
              <c:numCache>
                <c:formatCode>_(* #,##0_);_(* \(#,##0\);_(* "-"??_);_(@_)</c:formatCode>
                <c:ptCount val="3"/>
                <c:pt idx="0">
                  <c:v>143.52255266687459</c:v>
                </c:pt>
                <c:pt idx="1">
                  <c:v>201.57107433873637</c:v>
                </c:pt>
                <c:pt idx="2">
                  <c:v>14.272290101034022</c:v>
                </c:pt>
              </c:numCache>
            </c:numRef>
          </c:val>
          <c:extLst>
            <c:ext xmlns:c16="http://schemas.microsoft.com/office/drawing/2014/chart" uri="{C3380CC4-5D6E-409C-BE32-E72D297353CC}">
              <c16:uniqueId val="{00000000-7494-C945-852D-0D0A3900F7B1}"/>
            </c:ext>
          </c:extLst>
        </c:ser>
        <c:dLbls>
          <c:showLegendKey val="0"/>
          <c:showVal val="0"/>
          <c:showCatName val="0"/>
          <c:showSerName val="0"/>
          <c:showPercent val="0"/>
          <c:showBubbleSize val="0"/>
        </c:dLbls>
        <c:gapWidth val="150"/>
        <c:overlap val="100"/>
        <c:axId val="354196111"/>
        <c:axId val="415724895"/>
      </c:barChart>
      <c:catAx>
        <c:axId val="354196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724895"/>
        <c:crosses val="autoZero"/>
        <c:auto val="1"/>
        <c:lblAlgn val="ctr"/>
        <c:lblOffset val="100"/>
        <c:noMultiLvlLbl val="0"/>
      </c:catAx>
      <c:valAx>
        <c:axId val="415724895"/>
        <c:scaling>
          <c:orientation val="minMax"/>
          <c:max val="125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 CO2e/kWh (20 yr GWP)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196111"/>
        <c:crosses val="autoZero"/>
        <c:crossBetween val="between"/>
      </c:valAx>
      <c:spPr>
        <a:noFill/>
        <a:ln>
          <a:noFill/>
        </a:ln>
        <a:effectLst/>
      </c:spPr>
    </c:plotArea>
    <c:legend>
      <c:legendPos val="b"/>
      <c:layout>
        <c:manualLayout>
          <c:xMode val="edge"/>
          <c:yMode val="edge"/>
          <c:x val="0.70292042826085233"/>
          <c:y val="6.7275556166832867E-2"/>
          <c:w val="0.20909753429323827"/>
          <c:h val="0.168532304095175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2</xdr:row>
      <xdr:rowOff>33020</xdr:rowOff>
    </xdr:from>
    <xdr:to>
      <xdr:col>7</xdr:col>
      <xdr:colOff>10160</xdr:colOff>
      <xdr:row>2</xdr:row>
      <xdr:rowOff>2550160</xdr:rowOff>
    </xdr:to>
    <xdr:graphicFrame macro="">
      <xdr:nvGraphicFramePr>
        <xdr:cNvPr id="7" name="Chart 6">
          <a:extLst>
            <a:ext uri="{FF2B5EF4-FFF2-40B4-BE49-F238E27FC236}">
              <a16:creationId xmlns:a16="http://schemas.microsoft.com/office/drawing/2014/main" id="{E882A66A-C487-9D4E-9CC5-1608B3527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10671</xdr:colOff>
      <xdr:row>2</xdr:row>
      <xdr:rowOff>32017</xdr:rowOff>
    </xdr:from>
    <xdr:to>
      <xdr:col>4</xdr:col>
      <xdr:colOff>2113110</xdr:colOff>
      <xdr:row>2</xdr:row>
      <xdr:rowOff>2678739</xdr:rowOff>
    </xdr:to>
    <xdr:graphicFrame macro="">
      <xdr:nvGraphicFramePr>
        <xdr:cNvPr id="2" name="Chart 1">
          <a:extLst>
            <a:ext uri="{FF2B5EF4-FFF2-40B4-BE49-F238E27FC236}">
              <a16:creationId xmlns:a16="http://schemas.microsoft.com/office/drawing/2014/main" id="{3B2C0005-651E-D641-8311-4C96A0E88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ia.gov/dnav/ng/ng_cons_sum_a_EPG0_vgt_mmcf_a.htm"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5" Type="http://schemas.openxmlformats.org/officeDocument/2006/relationships/hyperlink" Target="https://www.eia.gov/dnav/ng/NG_MOVE_STATE_DCU_NUS_A.htm" TargetMode="External"/><Relationship Id="rId4" Type="http://schemas.openxmlformats.org/officeDocument/2006/relationships/hyperlink" Target="https://www.eia.gov/dnav/ng/ng_prod_sum_a_EPG0_FGW_mmcf_a.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ia.gov/dnav/ng/ng_cons_sum_a_EPG0_vgt_mmcf_a.htm" TargetMode="External"/><Relationship Id="rId7" Type="http://schemas.openxmlformats.org/officeDocument/2006/relationships/hyperlink" Target="https://www.eia.gov/dnav/ng/ng_cons_sum_a_EPG0_vgp_mmcf_a.htm"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5" Type="http://schemas.openxmlformats.org/officeDocument/2006/relationships/hyperlink" Target="https://www.eia.gov/dnav/ng/NG_MOVE_STATE_DCU_NUS_A.htm" TargetMode="External"/><Relationship Id="rId4" Type="http://schemas.openxmlformats.org/officeDocument/2006/relationships/hyperlink" Target="https://www.eia.gov/dnav/ng/ng_prod_sum_a_EPG0_FGW_mmcf_a.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ia.gov/dnav/ng/ng_cons_sum_a_EPG0_vgt_mmcf_a.htm"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5" Type="http://schemas.openxmlformats.org/officeDocument/2006/relationships/hyperlink" Target="https://www.eia.gov/dnav/ng/NG_MOVE_STATE_DCU_NUS_A.htm" TargetMode="External"/><Relationship Id="rId4" Type="http://schemas.openxmlformats.org/officeDocument/2006/relationships/hyperlink" Target="https://www.eia.gov/dnav/ng/ng_prod_sum_a_EPG0_FGW_mmcf_a.ht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ia.gov/dnav/ng/ng_cons_sum_a_EPG0_vgt_mmcf_a.htm" TargetMode="External"/><Relationship Id="rId7" Type="http://schemas.openxmlformats.org/officeDocument/2006/relationships/hyperlink" Target="https://www.eia.gov/international/data/country/QAT/natural-gas/dry-natural-gas-production?pd=3002&amp;p=00g&amp;u=0&amp;f=A&amp;v=mapbubble&amp;a=-&amp;i=none&amp;vo=value&amp;&amp;t=C&amp;g=none&amp;l=249--194&amp;s=315532800000&amp;e=1546300800000"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5" Type="http://schemas.openxmlformats.org/officeDocument/2006/relationships/hyperlink" Target="https://www.eia.gov/dnav/ng/NG_MOVE_STATE_DCU_NUS_A.htm" TargetMode="External"/><Relationship Id="rId4" Type="http://schemas.openxmlformats.org/officeDocument/2006/relationships/hyperlink" Target="https://www.eia.gov/dnav/ng/ng_prod_sum_a_EPG0_FGW_mmcf_a.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eia.gov/international/data/country/QAT/natural-gas/dry-natural-gas-production?pd=3002&amp;p=00g&amp;u=0&amp;f=A&amp;v=mapbubble&amp;a=-&amp;i=none&amp;vo=value&amp;&amp;t=C&amp;g=none&amp;l=249-000000000000000000000000000000000000001400000002&amp;s=315532800000&amp;e=1546300800000" TargetMode="External"/><Relationship Id="rId3" Type="http://schemas.openxmlformats.org/officeDocument/2006/relationships/hyperlink" Target="https://www.eia.gov/dnav/ng/ng_cons_sum_a_EPG0_vgt_mmcf_a.htm" TargetMode="External"/><Relationship Id="rId7" Type="http://schemas.openxmlformats.org/officeDocument/2006/relationships/hyperlink" Target="https://www.gazprom.com/about/production/extraction/"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11" Type="http://schemas.openxmlformats.org/officeDocument/2006/relationships/hyperlink" Target="https://www.eia.gov/international/data/country/QAT/natural-gas/dry-natural-gas-production?pd=3002&amp;p=00g&amp;u=0&amp;f=A&amp;v=mapbubble&amp;a=-&amp;i=none&amp;vo=value&amp;&amp;t=C&amp;g=none&amp;l=249--194&amp;s=315532800000&amp;e=1546300800000" TargetMode="External"/><Relationship Id="rId5" Type="http://schemas.openxmlformats.org/officeDocument/2006/relationships/hyperlink" Target="https://www.eia.gov/dnav/ng/NG_MOVE_STATE_DCU_NUS_A.htm" TargetMode="External"/><Relationship Id="rId10" Type="http://schemas.openxmlformats.org/officeDocument/2006/relationships/hyperlink" Target="https://pubdocs.worldbank.org/en/503141595343850009/WB-GGFR-Report-July2020.pdf" TargetMode="External"/><Relationship Id="rId4" Type="http://schemas.openxmlformats.org/officeDocument/2006/relationships/hyperlink" Target="https://www.eia.gov/dnav/ng/ng_prod_sum_a_EPG0_FGW_mmcf_a.htm" TargetMode="External"/><Relationship Id="rId9" Type="http://schemas.openxmlformats.org/officeDocument/2006/relationships/hyperlink" Target="https://www.opec.org/opec_web/static_files_project/media/downloads/publications/ASB%202018.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ia.gov/international/data/country/QAT/natural-gas/dry-natural-gas-production?pd=3002&amp;p=00g&amp;u=0&amp;f=A&amp;v=mapbubble&amp;a=-&amp;i=none&amp;vo=value&amp;&amp;t=C&amp;g=none&amp;l=249-000000000000000000000000000000000000001400000002&amp;s=315532800000&amp;e=1546300800000" TargetMode="External"/><Relationship Id="rId3" Type="http://schemas.openxmlformats.org/officeDocument/2006/relationships/hyperlink" Target="https://www.eia.gov/dnav/ng/ng_cons_sum_a_EPG0_vgt_mmcf_a.htm" TargetMode="External"/><Relationship Id="rId7" Type="http://schemas.openxmlformats.org/officeDocument/2006/relationships/hyperlink" Target="https://www.gazprom.com/about/production/extraction/" TargetMode="External"/><Relationship Id="rId2" Type="http://schemas.openxmlformats.org/officeDocument/2006/relationships/hyperlink" Target="https://www.eia.gov/dnav/ng/NG_MOVE_STATE_DCU_NUS_A.htm" TargetMode="External"/><Relationship Id="rId1" Type="http://schemas.openxmlformats.org/officeDocument/2006/relationships/hyperlink" Target="https://www.eia.gov/dnav/ng/ng_prod_sum_a_EPG0_FGW_mmcf_a.htm" TargetMode="External"/><Relationship Id="rId6" Type="http://schemas.openxmlformats.org/officeDocument/2006/relationships/hyperlink" Target="https://www.eia.gov/dnav/ng/ng_cons_sum_a_EPG0_vgt_mmcf_a.htm" TargetMode="External"/><Relationship Id="rId11" Type="http://schemas.openxmlformats.org/officeDocument/2006/relationships/hyperlink" Target="https://www.eia.gov/international/data/country/QAT/natural-gas/dry-natural-gas-production?pd=3002&amp;p=00g&amp;u=0&amp;f=A&amp;v=mapbubble&amp;a=-&amp;i=none&amp;vo=value&amp;&amp;t=C&amp;g=none&amp;l=249--194&amp;s=315532800000&amp;e=1546300800000" TargetMode="External"/><Relationship Id="rId5" Type="http://schemas.openxmlformats.org/officeDocument/2006/relationships/hyperlink" Target="https://www.eia.gov/dnav/ng/NG_MOVE_STATE_DCU_NUS_A.htm" TargetMode="External"/><Relationship Id="rId10" Type="http://schemas.openxmlformats.org/officeDocument/2006/relationships/hyperlink" Target="https://pubdocs.worldbank.org/en/503141595343850009/WB-GGFR-Report-July2020.pdf" TargetMode="External"/><Relationship Id="rId4" Type="http://schemas.openxmlformats.org/officeDocument/2006/relationships/hyperlink" Target="https://www.eia.gov/dnav/ng/ng_prod_sum_a_EPG0_FGW_mmcf_a.htm" TargetMode="External"/><Relationship Id="rId9" Type="http://schemas.openxmlformats.org/officeDocument/2006/relationships/hyperlink" Target="https://www.opec.org/opec_web/static_files_project/media/downloads/publications/ASB%202018.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52487-557F-DB47-B0BD-C1F74D5424F0}">
  <sheetPr codeName="Sheet6">
    <tabColor theme="5"/>
  </sheetPr>
  <dimension ref="A1:P66"/>
  <sheetViews>
    <sheetView tabSelected="1" zoomScale="125" zoomScaleNormal="125" workbookViewId="0">
      <pane xSplit="1" ySplit="3" topLeftCell="B4" activePane="bottomRight" state="frozen"/>
      <selection pane="topRight" activeCell="B1" sqref="B1"/>
      <selection pane="bottomLeft" activeCell="A4" sqref="A4"/>
      <selection pane="bottomRight" activeCell="C46" sqref="C46"/>
    </sheetView>
  </sheetViews>
  <sheetFormatPr baseColWidth="10" defaultColWidth="24.83203125" defaultRowHeight="15" x14ac:dyDescent="0.2"/>
  <cols>
    <col min="1" max="1" width="54.6640625" style="2" customWidth="1"/>
    <col min="2" max="7" width="13.33203125" style="3" customWidth="1"/>
    <col min="8" max="8" width="19.6640625" style="3" bestFit="1" customWidth="1"/>
    <col min="9" max="9" width="23" style="2" hidden="1" customWidth="1"/>
    <col min="10" max="10" width="20" style="2" hidden="1" customWidth="1"/>
    <col min="11" max="11" width="10.33203125" style="2" hidden="1" customWidth="1"/>
    <col min="12" max="12" width="29.1640625" style="2" hidden="1" customWidth="1"/>
    <col min="13" max="13" width="11.83203125" style="2" hidden="1" customWidth="1"/>
    <col min="14" max="16384" width="24.83203125" style="2"/>
  </cols>
  <sheetData>
    <row r="1" spans="1:16" s="6" customFormat="1" ht="34" x14ac:dyDescent="0.2">
      <c r="A1" s="1" t="s">
        <v>232</v>
      </c>
      <c r="B1" s="179" t="s">
        <v>308</v>
      </c>
      <c r="C1" s="179" t="s">
        <v>309</v>
      </c>
      <c r="D1" s="179" t="s">
        <v>310</v>
      </c>
      <c r="E1" s="179" t="s">
        <v>305</v>
      </c>
      <c r="F1" s="179" t="s">
        <v>306</v>
      </c>
      <c r="G1" s="179" t="s">
        <v>307</v>
      </c>
      <c r="H1" s="1" t="s">
        <v>2</v>
      </c>
      <c r="I1" s="1" t="s">
        <v>3</v>
      </c>
      <c r="J1" s="6" t="s">
        <v>16</v>
      </c>
      <c r="K1" s="6" t="s">
        <v>37</v>
      </c>
      <c r="L1" s="1" t="s">
        <v>0</v>
      </c>
      <c r="M1" s="1" t="s">
        <v>259</v>
      </c>
      <c r="O1" s="6" t="s">
        <v>90</v>
      </c>
      <c r="P1" s="6" t="s">
        <v>154</v>
      </c>
    </row>
    <row r="2" spans="1:16" s="6" customFormat="1" ht="16" x14ac:dyDescent="0.2">
      <c r="A2" s="1"/>
      <c r="B2" s="179">
        <v>1</v>
      </c>
      <c r="C2" s="179">
        <v>2</v>
      </c>
      <c r="D2" s="179">
        <v>3</v>
      </c>
      <c r="E2" s="179">
        <v>4</v>
      </c>
      <c r="F2" s="179">
        <v>5</v>
      </c>
      <c r="G2" s="179">
        <v>6</v>
      </c>
      <c r="H2" s="1"/>
      <c r="I2" s="1"/>
      <c r="L2" s="1"/>
      <c r="M2" s="1"/>
    </row>
    <row r="3" spans="1:16" s="6" customFormat="1" ht="203" customHeight="1" x14ac:dyDescent="0.2">
      <c r="A3" s="1"/>
      <c r="B3" s="179"/>
      <c r="C3" s="179"/>
      <c r="D3" s="179"/>
      <c r="E3" s="179"/>
      <c r="F3" s="179"/>
      <c r="G3" s="179"/>
      <c r="H3" s="1"/>
      <c r="I3" s="1"/>
      <c r="L3" s="1"/>
      <c r="M3" s="1"/>
    </row>
    <row r="4" spans="1:16" x14ac:dyDescent="0.2">
      <c r="A4" s="246" t="s">
        <v>218</v>
      </c>
      <c r="B4" s="123">
        <f>'NG C1'!D38*100</f>
        <v>1.8264559754672929</v>
      </c>
      <c r="C4" s="123">
        <f>'NG C2'!D38*100</f>
        <v>2.2732434041712608</v>
      </c>
      <c r="D4" s="123">
        <f>'NG C3'!D38*100</f>
        <v>1.4469641653540672</v>
      </c>
      <c r="E4" s="123">
        <f>'NG C4'!D38*100</f>
        <v>1.8264559754672929</v>
      </c>
      <c r="F4" s="123">
        <f>'NG C5'!D38*100</f>
        <v>0.77467393975237708</v>
      </c>
      <c r="G4" s="123">
        <f>'NG C6'!D38*100</f>
        <v>0.79935227760018468</v>
      </c>
      <c r="H4" s="251" t="s">
        <v>5</v>
      </c>
      <c r="I4" s="5" t="s">
        <v>233</v>
      </c>
      <c r="J4" s="2">
        <f>'NG C1'!D38*100</f>
        <v>1.8264559754672929</v>
      </c>
      <c r="K4" s="2" t="s">
        <v>33</v>
      </c>
      <c r="L4" s="5" t="s">
        <v>7</v>
      </c>
      <c r="M4" s="5" t="s">
        <v>266</v>
      </c>
    </row>
    <row r="5" spans="1:16" x14ac:dyDescent="0.2">
      <c r="A5" s="247" t="s">
        <v>17</v>
      </c>
      <c r="B5" s="18">
        <v>60</v>
      </c>
      <c r="C5" s="18">
        <v>60</v>
      </c>
      <c r="D5" s="18">
        <v>60</v>
      </c>
      <c r="E5" s="18">
        <v>60</v>
      </c>
      <c r="F5" s="18">
        <v>60</v>
      </c>
      <c r="G5" s="18">
        <v>60</v>
      </c>
      <c r="H5" s="251" t="s">
        <v>5</v>
      </c>
      <c r="I5" s="154" t="s">
        <v>202</v>
      </c>
      <c r="J5" s="165" t="s">
        <v>383</v>
      </c>
      <c r="K5" s="2" t="s">
        <v>34</v>
      </c>
      <c r="L5" s="5" t="s">
        <v>6</v>
      </c>
      <c r="M5" s="5"/>
    </row>
    <row r="6" spans="1:16" x14ac:dyDescent="0.2">
      <c r="A6" s="246" t="s">
        <v>346</v>
      </c>
      <c r="B6" s="142">
        <f>'NG C1'!C83</f>
        <v>4.3480490514416106</v>
      </c>
      <c r="C6" s="142">
        <f>'NG C2'!K83</f>
        <v>5.8335002413749963</v>
      </c>
      <c r="D6" s="142">
        <f>'NG C3'!O83</f>
        <v>2.2965579394367532</v>
      </c>
      <c r="E6" s="142">
        <f>'NG C4'!C83</f>
        <v>4.3480490514416106</v>
      </c>
      <c r="F6" s="142">
        <f>'NG C5'!C83</f>
        <v>4.3480490514416106</v>
      </c>
      <c r="G6" s="142">
        <f>'NG C6'!C83</f>
        <v>4.3480490514416106</v>
      </c>
      <c r="H6" s="251" t="s">
        <v>216</v>
      </c>
      <c r="I6" s="5" t="s">
        <v>217</v>
      </c>
      <c r="L6" s="5" t="s">
        <v>7</v>
      </c>
      <c r="M6" s="5" t="s">
        <v>267</v>
      </c>
    </row>
    <row r="7" spans="1:16" x14ac:dyDescent="0.2">
      <c r="A7" s="247" t="s">
        <v>257</v>
      </c>
      <c r="B7" s="142">
        <f>'NG C1'!C84</f>
        <v>0.77456954894790409</v>
      </c>
      <c r="C7" s="142">
        <f>'NG C2'!K84</f>
        <v>1.9438986803061524</v>
      </c>
      <c r="D7" s="142">
        <f>'NG C3'!O84</f>
        <v>2.7839050632911391E-2</v>
      </c>
      <c r="E7" s="142">
        <f>'NG C4'!C84</f>
        <v>0.77456954894790409</v>
      </c>
      <c r="F7" s="142">
        <f>'NG C5'!S88</f>
        <v>0.64339585606763616</v>
      </c>
      <c r="G7" s="142">
        <f>'NG C6'!S88</f>
        <v>2.7532272482369455</v>
      </c>
      <c r="H7" s="251" t="s">
        <v>216</v>
      </c>
      <c r="I7" s="5" t="s">
        <v>217</v>
      </c>
      <c r="L7" s="5" t="s">
        <v>7</v>
      </c>
      <c r="M7" s="5" t="s">
        <v>267</v>
      </c>
    </row>
    <row r="8" spans="1:16" x14ac:dyDescent="0.2">
      <c r="A8" s="246" t="s">
        <v>373</v>
      </c>
      <c r="B8" s="142">
        <f>'NG C1'!C85</f>
        <v>0.38579227203138206</v>
      </c>
      <c r="C8" s="142">
        <f>'NG C2'!K85</f>
        <v>0.32315767441860466</v>
      </c>
      <c r="D8" s="142">
        <f>'NG C3'!O85</f>
        <v>0.10668070175438599</v>
      </c>
      <c r="E8" s="142">
        <f>'NG C4'!C85</f>
        <v>0.38579227203138206</v>
      </c>
      <c r="F8" s="142">
        <f>'NG C5'!C85</f>
        <v>0.38579227203138206</v>
      </c>
      <c r="G8" s="142">
        <f>'NG C6'!C85</f>
        <v>0.38579227203138206</v>
      </c>
      <c r="H8" s="251" t="s">
        <v>216</v>
      </c>
      <c r="I8" s="5" t="s">
        <v>217</v>
      </c>
      <c r="L8" s="5"/>
      <c r="M8" s="5"/>
    </row>
    <row r="9" spans="1:16" x14ac:dyDescent="0.2">
      <c r="A9" s="248" t="s">
        <v>88</v>
      </c>
      <c r="B9" s="3" t="s">
        <v>90</v>
      </c>
      <c r="C9" s="3" t="s">
        <v>90</v>
      </c>
      <c r="D9" s="3" t="s">
        <v>90</v>
      </c>
      <c r="E9" s="3" t="s">
        <v>90</v>
      </c>
      <c r="F9" s="3" t="s">
        <v>90</v>
      </c>
      <c r="G9" s="3" t="s">
        <v>90</v>
      </c>
      <c r="H9" s="252" t="s">
        <v>380</v>
      </c>
      <c r="K9" s="2" t="s">
        <v>87</v>
      </c>
      <c r="L9" s="2" t="s">
        <v>88</v>
      </c>
    </row>
    <row r="10" spans="1:16" x14ac:dyDescent="0.2">
      <c r="A10" s="249" t="s">
        <v>331</v>
      </c>
      <c r="B10" s="18">
        <f>604*1.60934</f>
        <v>972.04135999999994</v>
      </c>
      <c r="C10" s="191">
        <f>1200*1.60934</f>
        <v>1931.2080000000001</v>
      </c>
      <c r="D10" s="7">
        <f>50*1.60934</f>
        <v>80.466999999999999</v>
      </c>
      <c r="E10" s="18">
        <v>725</v>
      </c>
      <c r="F10" s="18">
        <v>15</v>
      </c>
      <c r="G10" s="98">
        <v>4000</v>
      </c>
      <c r="H10" s="253" t="s">
        <v>321</v>
      </c>
      <c r="I10" s="164" t="s">
        <v>330</v>
      </c>
      <c r="L10" s="5" t="s">
        <v>137</v>
      </c>
      <c r="M10" s="5" t="s">
        <v>268</v>
      </c>
    </row>
    <row r="11" spans="1:16" x14ac:dyDescent="0.2">
      <c r="A11" s="249" t="s">
        <v>332</v>
      </c>
      <c r="B11" s="138">
        <f>'NG C1'!D$134</f>
        <v>3.6105201733941759E-6</v>
      </c>
      <c r="C11" s="138">
        <f>'NG C2'!D$134</f>
        <v>3.6105201733941759E-6</v>
      </c>
      <c r="D11" s="138">
        <f>'NG C3'!D$134</f>
        <v>3.6105201733941759E-6</v>
      </c>
      <c r="E11" s="138">
        <v>4.0199999999999996E-6</v>
      </c>
      <c r="F11" s="138">
        <v>4.0199999999999996E-6</v>
      </c>
      <c r="G11" s="138">
        <v>4.0199999999999996E-6</v>
      </c>
      <c r="H11" s="253" t="s">
        <v>334</v>
      </c>
      <c r="I11" s="164" t="s">
        <v>335</v>
      </c>
      <c r="J11" s="2" t="s">
        <v>212</v>
      </c>
      <c r="K11" s="2" t="s">
        <v>33</v>
      </c>
      <c r="L11" s="5" t="s">
        <v>137</v>
      </c>
      <c r="M11" s="5" t="s">
        <v>268</v>
      </c>
    </row>
    <row r="12" spans="1:16" x14ac:dyDescent="0.2">
      <c r="A12" s="250" t="s">
        <v>219</v>
      </c>
      <c r="B12" s="117">
        <f>B10*B11*100</f>
        <v>0.35095749396535103</v>
      </c>
      <c r="C12" s="117">
        <f>C10*C11*100</f>
        <v>0.69726654430202195</v>
      </c>
      <c r="D12" s="117">
        <f>D10*D11*100</f>
        <v>2.9052772679250917E-2</v>
      </c>
      <c r="E12" s="117">
        <f>E10*E11*100/2</f>
        <v>0.14572499999999997</v>
      </c>
      <c r="F12" s="117">
        <f>F10*F11*100</f>
        <v>6.0299999999999998E-3</v>
      </c>
      <c r="G12" s="117">
        <f>G10*G11*100</f>
        <v>1.6079999999999997</v>
      </c>
      <c r="H12" s="254" t="s">
        <v>5</v>
      </c>
      <c r="I12" s="5" t="s">
        <v>8</v>
      </c>
      <c r="K12" s="2" t="s">
        <v>33</v>
      </c>
      <c r="L12" s="5" t="s">
        <v>137</v>
      </c>
      <c r="M12" s="5"/>
    </row>
    <row r="13" spans="1:16" x14ac:dyDescent="0.2">
      <c r="A13" s="249" t="s">
        <v>333</v>
      </c>
      <c r="B13" s="98">
        <v>0</v>
      </c>
      <c r="C13" s="98">
        <f t="shared" ref="C13:C41" si="0">B13</f>
        <v>0</v>
      </c>
      <c r="D13" s="7">
        <f t="shared" ref="D13:G41" si="1">C13</f>
        <v>0</v>
      </c>
      <c r="E13" s="98">
        <v>200</v>
      </c>
      <c r="F13" s="98">
        <v>200</v>
      </c>
      <c r="G13" s="168">
        <v>0</v>
      </c>
      <c r="H13" s="253" t="s">
        <v>321</v>
      </c>
      <c r="I13" s="164" t="s">
        <v>348</v>
      </c>
      <c r="L13" s="5" t="s">
        <v>137</v>
      </c>
      <c r="M13" s="5" t="s">
        <v>268</v>
      </c>
    </row>
    <row r="14" spans="1:16" x14ac:dyDescent="0.2">
      <c r="A14" s="250" t="s">
        <v>199</v>
      </c>
      <c r="B14" s="138">
        <f>'NG C1'!D$134</f>
        <v>3.6105201733941759E-6</v>
      </c>
      <c r="C14" s="138">
        <f>'NG C2'!D$134</f>
        <v>3.6105201733941759E-6</v>
      </c>
      <c r="D14" s="138">
        <f>'NG C3'!D$134</f>
        <v>3.6105201733941759E-6</v>
      </c>
      <c r="E14" s="138">
        <v>4.0199999999999996E-6</v>
      </c>
      <c r="F14" s="138">
        <v>4.0199999999999996E-6</v>
      </c>
      <c r="G14" s="138">
        <v>4.0199999999999996E-6</v>
      </c>
      <c r="H14" s="253" t="s">
        <v>334</v>
      </c>
      <c r="I14" s="5" t="s">
        <v>211</v>
      </c>
      <c r="K14" s="2" t="s">
        <v>33</v>
      </c>
      <c r="L14" s="5" t="s">
        <v>137</v>
      </c>
      <c r="M14" s="5" t="s">
        <v>268</v>
      </c>
    </row>
    <row r="15" spans="1:16" x14ac:dyDescent="0.2">
      <c r="A15" s="250" t="s">
        <v>220</v>
      </c>
      <c r="B15" s="117">
        <f>B13*B14*100</f>
        <v>0</v>
      </c>
      <c r="C15" s="117">
        <f t="shared" ref="C15:G15" si="2">C13*C14*100</f>
        <v>0</v>
      </c>
      <c r="D15" s="117">
        <f t="shared" ref="D15" si="3">D13*D14*100</f>
        <v>0</v>
      </c>
      <c r="E15" s="117">
        <f t="shared" si="2"/>
        <v>8.0399999999999985E-2</v>
      </c>
      <c r="F15" s="117">
        <f t="shared" si="2"/>
        <v>8.0399999999999985E-2</v>
      </c>
      <c r="G15" s="117">
        <f t="shared" si="2"/>
        <v>0</v>
      </c>
      <c r="H15" s="254" t="s">
        <v>5</v>
      </c>
      <c r="I15" s="5"/>
      <c r="K15" s="2" t="s">
        <v>33</v>
      </c>
      <c r="L15" s="5" t="s">
        <v>137</v>
      </c>
      <c r="M15" s="5"/>
    </row>
    <row r="16" spans="1:16" x14ac:dyDescent="0.2">
      <c r="A16" s="5" t="s">
        <v>221</v>
      </c>
      <c r="B16" s="117">
        <f>B4+B12+B15</f>
        <v>2.1774134694326439</v>
      </c>
      <c r="C16" s="117">
        <f>C4+C12+C15</f>
        <v>2.9705099484732829</v>
      </c>
      <c r="D16" s="117">
        <f>D4+D12+D15</f>
        <v>1.4760169380333181</v>
      </c>
      <c r="E16" s="117">
        <f t="shared" ref="E16" si="4">E4+E12+E15</f>
        <v>2.0525809754672926</v>
      </c>
      <c r="F16" s="117">
        <f t="shared" ref="F16" si="5">F4+F12+F15</f>
        <v>0.86110393975237709</v>
      </c>
      <c r="G16" s="117">
        <f>G4+G12+G15</f>
        <v>2.4073522776001841</v>
      </c>
      <c r="H16" s="4" t="s">
        <v>5</v>
      </c>
      <c r="I16" s="5"/>
      <c r="K16" s="2" t="s">
        <v>33</v>
      </c>
      <c r="L16" s="5"/>
      <c r="M16" s="5"/>
    </row>
    <row r="17" spans="1:13" x14ac:dyDescent="0.2">
      <c r="A17" s="5" t="s">
        <v>205</v>
      </c>
      <c r="B17" s="98">
        <v>84</v>
      </c>
      <c r="C17" s="98">
        <f t="shared" si="0"/>
        <v>84</v>
      </c>
      <c r="D17" s="7">
        <f t="shared" si="1"/>
        <v>84</v>
      </c>
      <c r="E17" s="98">
        <f>B17</f>
        <v>84</v>
      </c>
      <c r="F17" s="98">
        <f>C17</f>
        <v>84</v>
      </c>
      <c r="G17" s="98">
        <f t="shared" ref="G17" si="6">E17</f>
        <v>84</v>
      </c>
      <c r="H17" s="4" t="s">
        <v>5</v>
      </c>
      <c r="I17" s="5" t="s">
        <v>206</v>
      </c>
      <c r="L17" s="5"/>
      <c r="M17" s="5"/>
    </row>
    <row r="18" spans="1:13" x14ac:dyDescent="0.2">
      <c r="A18" s="5" t="s">
        <v>207</v>
      </c>
      <c r="B18" s="117">
        <f>B16*B17/100</f>
        <v>1.8290273143234208</v>
      </c>
      <c r="C18" s="117">
        <f>C16*C17/100</f>
        <v>2.4952283567175577</v>
      </c>
      <c r="D18" s="117">
        <f>D16*D17/100</f>
        <v>1.2398542279479872</v>
      </c>
      <c r="E18" s="117">
        <f t="shared" ref="E18" si="7">E16*E17/100</f>
        <v>1.7241680193925257</v>
      </c>
      <c r="F18" s="117">
        <f>F16*F17/100</f>
        <v>0.72332730939199674</v>
      </c>
      <c r="G18" s="117">
        <f>G16*G17/100</f>
        <v>2.0221759131841548</v>
      </c>
      <c r="H18" s="192" t="s">
        <v>5</v>
      </c>
      <c r="I18" s="5" t="s">
        <v>209</v>
      </c>
      <c r="L18" s="5"/>
      <c r="M18" s="5"/>
    </row>
    <row r="19" spans="1:13" x14ac:dyDescent="0.2">
      <c r="A19" s="5" t="s">
        <v>169</v>
      </c>
      <c r="B19" s="123">
        <v>4.6245496837725802E-2</v>
      </c>
      <c r="C19" s="123">
        <v>4.6245496837725802E-2</v>
      </c>
      <c r="D19" s="123">
        <v>4.6245496837725802E-2</v>
      </c>
      <c r="E19" s="123">
        <v>4.6245496837725802E-2</v>
      </c>
      <c r="F19" s="123">
        <v>4.6245496837725802E-2</v>
      </c>
      <c r="G19" s="123">
        <v>4.6245496837725802E-2</v>
      </c>
      <c r="H19" s="189" t="s">
        <v>342</v>
      </c>
      <c r="I19" s="5" t="s">
        <v>170</v>
      </c>
      <c r="L19" s="5" t="s">
        <v>137</v>
      </c>
      <c r="M19" s="5" t="s">
        <v>269</v>
      </c>
    </row>
    <row r="20" spans="1:13" x14ac:dyDescent="0.2">
      <c r="A20" s="146" t="s">
        <v>35</v>
      </c>
      <c r="B20" s="233" t="s">
        <v>154</v>
      </c>
      <c r="C20" s="233" t="s">
        <v>154</v>
      </c>
      <c r="D20" s="233" t="s">
        <v>154</v>
      </c>
      <c r="E20" s="234" t="s">
        <v>90</v>
      </c>
      <c r="F20" s="234" t="s">
        <v>90</v>
      </c>
      <c r="G20" s="233" t="s">
        <v>154</v>
      </c>
      <c r="H20" s="257" t="s">
        <v>380</v>
      </c>
      <c r="K20" s="2" t="s">
        <v>87</v>
      </c>
      <c r="L20" s="2" t="s">
        <v>35</v>
      </c>
    </row>
    <row r="21" spans="1:13" x14ac:dyDescent="0.2">
      <c r="A21" s="255" t="s">
        <v>354</v>
      </c>
      <c r="B21" s="235">
        <v>0.09</v>
      </c>
      <c r="C21" s="236">
        <f t="shared" si="0"/>
        <v>0.09</v>
      </c>
      <c r="D21" s="237">
        <f t="shared" si="1"/>
        <v>0.09</v>
      </c>
      <c r="E21" s="235">
        <v>0.09</v>
      </c>
      <c r="F21" s="235">
        <v>0.09</v>
      </c>
      <c r="G21" s="235">
        <v>0.09</v>
      </c>
      <c r="H21" s="258" t="s">
        <v>5</v>
      </c>
      <c r="I21" s="164" t="s">
        <v>281</v>
      </c>
      <c r="K21" s="2" t="s">
        <v>33</v>
      </c>
      <c r="L21" s="5" t="s">
        <v>138</v>
      </c>
      <c r="M21" s="5" t="s">
        <v>271</v>
      </c>
    </row>
    <row r="22" spans="1:13" x14ac:dyDescent="0.2">
      <c r="A22" s="255" t="s">
        <v>356</v>
      </c>
      <c r="B22" s="235">
        <v>10</v>
      </c>
      <c r="C22" s="238">
        <f t="shared" si="0"/>
        <v>10</v>
      </c>
      <c r="D22" s="237">
        <f t="shared" si="1"/>
        <v>10</v>
      </c>
      <c r="E22" s="235">
        <v>10</v>
      </c>
      <c r="F22" s="235">
        <v>10</v>
      </c>
      <c r="G22" s="235">
        <v>10</v>
      </c>
      <c r="H22" s="258" t="s">
        <v>5</v>
      </c>
      <c r="I22" s="164" t="s">
        <v>280</v>
      </c>
      <c r="L22" s="5" t="s">
        <v>138</v>
      </c>
      <c r="M22" s="5" t="s">
        <v>270</v>
      </c>
    </row>
    <row r="23" spans="1:13" x14ac:dyDescent="0.2">
      <c r="A23" s="255" t="s">
        <v>360</v>
      </c>
      <c r="B23" s="235">
        <v>0.3</v>
      </c>
      <c r="C23" s="236">
        <f t="shared" si="0"/>
        <v>0.3</v>
      </c>
      <c r="D23" s="237">
        <f t="shared" si="1"/>
        <v>0.3</v>
      </c>
      <c r="E23" s="235">
        <v>0.3</v>
      </c>
      <c r="F23" s="235">
        <v>0.3</v>
      </c>
      <c r="G23" s="235">
        <v>0.3</v>
      </c>
      <c r="H23" s="258" t="s">
        <v>5</v>
      </c>
      <c r="I23" s="164" t="s">
        <v>283</v>
      </c>
      <c r="L23" s="5" t="s">
        <v>138</v>
      </c>
      <c r="M23" s="5" t="s">
        <v>270</v>
      </c>
    </row>
    <row r="24" spans="1:13" x14ac:dyDescent="0.2">
      <c r="A24" s="255" t="s">
        <v>363</v>
      </c>
      <c r="B24" s="235">
        <v>0.93</v>
      </c>
      <c r="C24" s="236">
        <f t="shared" si="0"/>
        <v>0.93</v>
      </c>
      <c r="D24" s="237">
        <f t="shared" si="1"/>
        <v>0.93</v>
      </c>
      <c r="E24" s="235">
        <v>0.93</v>
      </c>
      <c r="F24" s="235">
        <v>0.93</v>
      </c>
      <c r="G24" s="235">
        <v>0.93</v>
      </c>
      <c r="H24" s="258" t="s">
        <v>5</v>
      </c>
      <c r="I24" s="5" t="s">
        <v>230</v>
      </c>
      <c r="J24" s="130">
        <f>350/Conversions!B8/10^3*'NG Parameters'!B43/10^6*Conversions!B2/10^6</f>
        <v>1.9719381623629267E-2</v>
      </c>
      <c r="L24" s="5" t="s">
        <v>138</v>
      </c>
      <c r="M24" s="5" t="s">
        <v>271</v>
      </c>
    </row>
    <row r="25" spans="1:13" x14ac:dyDescent="0.2">
      <c r="A25" s="255" t="s">
        <v>365</v>
      </c>
      <c r="B25" s="235">
        <v>5</v>
      </c>
      <c r="C25" s="238">
        <v>5</v>
      </c>
      <c r="D25" s="238">
        <v>5</v>
      </c>
      <c r="E25" s="235">
        <v>5</v>
      </c>
      <c r="F25" s="235">
        <v>5</v>
      </c>
      <c r="G25" s="235">
        <v>5</v>
      </c>
      <c r="H25" s="258" t="s">
        <v>5</v>
      </c>
      <c r="I25" s="5"/>
      <c r="J25" s="130"/>
      <c r="L25" s="5" t="s">
        <v>138</v>
      </c>
      <c r="M25" s="5" t="s">
        <v>271</v>
      </c>
    </row>
    <row r="26" spans="1:13" x14ac:dyDescent="0.2">
      <c r="A26" s="256" t="s">
        <v>14</v>
      </c>
      <c r="B26" s="235">
        <v>10</v>
      </c>
      <c r="C26" s="239">
        <f t="shared" si="0"/>
        <v>10</v>
      </c>
      <c r="D26" s="237">
        <f t="shared" si="1"/>
        <v>10</v>
      </c>
      <c r="E26" s="235">
        <v>10</v>
      </c>
      <c r="F26" s="235">
        <v>10</v>
      </c>
      <c r="G26" s="235">
        <v>10</v>
      </c>
      <c r="H26" s="258" t="s">
        <v>5</v>
      </c>
      <c r="I26" s="164" t="s">
        <v>282</v>
      </c>
      <c r="K26" s="2" t="s">
        <v>33</v>
      </c>
      <c r="L26" s="5" t="s">
        <v>139</v>
      </c>
      <c r="M26" s="5" t="s">
        <v>271</v>
      </c>
    </row>
    <row r="27" spans="1:13" x14ac:dyDescent="0.2">
      <c r="A27" s="256" t="s">
        <v>12</v>
      </c>
      <c r="B27" s="235">
        <v>821</v>
      </c>
      <c r="C27" s="238">
        <f t="shared" si="0"/>
        <v>821</v>
      </c>
      <c r="D27" s="237">
        <f t="shared" si="1"/>
        <v>821</v>
      </c>
      <c r="E27" s="235">
        <v>821</v>
      </c>
      <c r="F27" s="235">
        <v>821</v>
      </c>
      <c r="G27" s="235">
        <v>821</v>
      </c>
      <c r="H27" s="259" t="s">
        <v>350</v>
      </c>
      <c r="I27" s="164" t="s">
        <v>284</v>
      </c>
      <c r="J27" s="2">
        <f>22.4*24</f>
        <v>537.59999999999991</v>
      </c>
      <c r="L27" s="5" t="s">
        <v>139</v>
      </c>
      <c r="M27" s="5" t="s">
        <v>271</v>
      </c>
    </row>
    <row r="28" spans="1:13" x14ac:dyDescent="0.2">
      <c r="A28" s="256" t="s">
        <v>104</v>
      </c>
      <c r="B28" s="235">
        <v>20000</v>
      </c>
      <c r="C28" s="238">
        <f t="shared" si="0"/>
        <v>20000</v>
      </c>
      <c r="D28" s="237">
        <f t="shared" si="1"/>
        <v>20000</v>
      </c>
      <c r="E28" s="237">
        <f t="shared" si="1"/>
        <v>20000</v>
      </c>
      <c r="F28" s="237">
        <f t="shared" si="1"/>
        <v>20000</v>
      </c>
      <c r="G28" s="237">
        <f t="shared" si="1"/>
        <v>20000</v>
      </c>
      <c r="H28" s="259" t="s">
        <v>321</v>
      </c>
      <c r="I28" s="164" t="s">
        <v>349</v>
      </c>
      <c r="L28" s="5" t="s">
        <v>139</v>
      </c>
      <c r="M28" s="5" t="s">
        <v>272</v>
      </c>
    </row>
    <row r="29" spans="1:13" x14ac:dyDescent="0.2">
      <c r="A29" s="256" t="s">
        <v>121</v>
      </c>
      <c r="B29" s="240">
        <v>260000</v>
      </c>
      <c r="C29" s="238">
        <f t="shared" si="0"/>
        <v>260000</v>
      </c>
      <c r="D29" s="237">
        <f t="shared" si="1"/>
        <v>260000</v>
      </c>
      <c r="E29" s="240">
        <v>260000</v>
      </c>
      <c r="F29" s="240">
        <v>260000</v>
      </c>
      <c r="G29" s="240">
        <v>260000</v>
      </c>
      <c r="H29" s="258" t="s">
        <v>122</v>
      </c>
      <c r="I29" s="5" t="s">
        <v>208</v>
      </c>
      <c r="L29" s="5" t="s">
        <v>139</v>
      </c>
      <c r="M29" s="5" t="s">
        <v>271</v>
      </c>
    </row>
    <row r="30" spans="1:13" x14ac:dyDescent="0.2">
      <c r="A30" s="256" t="s">
        <v>106</v>
      </c>
      <c r="B30" s="235">
        <v>3</v>
      </c>
      <c r="C30" s="238">
        <f t="shared" si="0"/>
        <v>3</v>
      </c>
      <c r="D30" s="237">
        <f t="shared" si="1"/>
        <v>3</v>
      </c>
      <c r="E30" s="235">
        <v>3</v>
      </c>
      <c r="F30" s="235">
        <v>3</v>
      </c>
      <c r="G30" s="235">
        <v>3</v>
      </c>
      <c r="H30" s="258" t="s">
        <v>107</v>
      </c>
      <c r="I30" s="5" t="s">
        <v>213</v>
      </c>
      <c r="L30" s="5" t="s">
        <v>139</v>
      </c>
      <c r="M30" s="5" t="s">
        <v>271</v>
      </c>
    </row>
    <row r="31" spans="1:13" x14ac:dyDescent="0.2">
      <c r="A31" s="256" t="s">
        <v>13</v>
      </c>
      <c r="B31" s="235">
        <v>0.15</v>
      </c>
      <c r="C31" s="241">
        <f t="shared" si="0"/>
        <v>0.15</v>
      </c>
      <c r="D31" s="237">
        <f t="shared" si="1"/>
        <v>0.15</v>
      </c>
      <c r="E31" s="235">
        <v>0.15</v>
      </c>
      <c r="F31" s="235">
        <v>0.15</v>
      </c>
      <c r="G31" s="235">
        <v>0.15</v>
      </c>
      <c r="H31" s="258" t="s">
        <v>5</v>
      </c>
      <c r="I31" s="5" t="s">
        <v>210</v>
      </c>
      <c r="L31" s="5" t="s">
        <v>139</v>
      </c>
      <c r="M31" s="5" t="s">
        <v>271</v>
      </c>
    </row>
    <row r="32" spans="1:13" x14ac:dyDescent="0.2">
      <c r="A32" s="256" t="s">
        <v>120</v>
      </c>
      <c r="B32" s="235">
        <v>1.7</v>
      </c>
      <c r="C32" s="236">
        <f t="shared" si="0"/>
        <v>1.7</v>
      </c>
      <c r="D32" s="237">
        <f t="shared" si="1"/>
        <v>1.7</v>
      </c>
      <c r="E32" s="235">
        <v>1.7</v>
      </c>
      <c r="F32" s="235">
        <v>1.7</v>
      </c>
      <c r="G32" s="235">
        <v>1.7</v>
      </c>
      <c r="H32" s="258" t="s">
        <v>5</v>
      </c>
      <c r="I32" s="164" t="s">
        <v>258</v>
      </c>
      <c r="J32" s="2">
        <f>(0.15+1.7)/2</f>
        <v>0.92499999999999993</v>
      </c>
      <c r="L32" s="5" t="s">
        <v>139</v>
      </c>
      <c r="M32" s="5" t="s">
        <v>271</v>
      </c>
    </row>
    <row r="33" spans="1:14" x14ac:dyDescent="0.2">
      <c r="A33" s="255" t="s">
        <v>378</v>
      </c>
      <c r="B33" s="235">
        <v>407</v>
      </c>
      <c r="C33" s="239">
        <f t="shared" si="0"/>
        <v>407</v>
      </c>
      <c r="D33" s="237">
        <f t="shared" si="1"/>
        <v>407</v>
      </c>
      <c r="E33" s="235">
        <v>407</v>
      </c>
      <c r="F33" s="235">
        <v>407</v>
      </c>
      <c r="G33" s="235">
        <v>407</v>
      </c>
      <c r="H33" s="259" t="s">
        <v>351</v>
      </c>
      <c r="I33" s="5" t="s">
        <v>125</v>
      </c>
      <c r="L33" s="5" t="s">
        <v>139</v>
      </c>
      <c r="M33" s="5" t="s">
        <v>270</v>
      </c>
    </row>
    <row r="34" spans="1:14" x14ac:dyDescent="0.2">
      <c r="A34" s="255" t="s">
        <v>355</v>
      </c>
      <c r="B34" s="235">
        <v>0.09</v>
      </c>
      <c r="C34" s="236">
        <f t="shared" si="0"/>
        <v>0.09</v>
      </c>
      <c r="D34" s="237">
        <f t="shared" si="1"/>
        <v>0.09</v>
      </c>
      <c r="E34" s="235">
        <v>0.09</v>
      </c>
      <c r="F34" s="235">
        <v>0.09</v>
      </c>
      <c r="G34" s="235">
        <v>0.09</v>
      </c>
      <c r="H34" s="258" t="s">
        <v>5</v>
      </c>
      <c r="I34" s="164" t="s">
        <v>281</v>
      </c>
      <c r="K34" s="2" t="s">
        <v>33</v>
      </c>
      <c r="L34" s="5" t="s">
        <v>140</v>
      </c>
      <c r="M34" s="5" t="s">
        <v>271</v>
      </c>
    </row>
    <row r="35" spans="1:14" x14ac:dyDescent="0.2">
      <c r="A35" s="255" t="s">
        <v>357</v>
      </c>
      <c r="B35" s="235">
        <v>1.1000000000000001</v>
      </c>
      <c r="C35" s="236">
        <f t="shared" si="0"/>
        <v>1.1000000000000001</v>
      </c>
      <c r="D35" s="237">
        <f t="shared" si="1"/>
        <v>1.1000000000000001</v>
      </c>
      <c r="E35" s="235">
        <v>1.1000000000000001</v>
      </c>
      <c r="F35" s="235">
        <v>1.1000000000000001</v>
      </c>
      <c r="G35" s="235">
        <v>1.1000000000000001</v>
      </c>
      <c r="H35" s="258" t="s">
        <v>5</v>
      </c>
      <c r="I35" s="5"/>
      <c r="L35" s="5" t="s">
        <v>140</v>
      </c>
      <c r="M35" s="5" t="s">
        <v>270</v>
      </c>
    </row>
    <row r="36" spans="1:14" x14ac:dyDescent="0.2">
      <c r="A36" s="255" t="s">
        <v>361</v>
      </c>
      <c r="B36" s="235">
        <v>0.09</v>
      </c>
      <c r="C36" s="236">
        <f t="shared" ref="C36" si="8">B36</f>
        <v>0.09</v>
      </c>
      <c r="D36" s="237">
        <f t="shared" ref="D36" si="9">C36</f>
        <v>0.09</v>
      </c>
      <c r="E36" s="235">
        <v>0.09</v>
      </c>
      <c r="F36" s="235">
        <v>0.09</v>
      </c>
      <c r="G36" s="235">
        <v>0.09</v>
      </c>
      <c r="H36" s="258" t="s">
        <v>5</v>
      </c>
      <c r="I36" s="164" t="s">
        <v>283</v>
      </c>
      <c r="L36" s="5" t="s">
        <v>140</v>
      </c>
      <c r="M36" s="5" t="s">
        <v>270</v>
      </c>
    </row>
    <row r="37" spans="1:14" x14ac:dyDescent="0.2">
      <c r="A37" s="255" t="s">
        <v>364</v>
      </c>
      <c r="B37" s="235">
        <v>0.93</v>
      </c>
      <c r="C37" s="236">
        <f t="shared" si="0"/>
        <v>0.93</v>
      </c>
      <c r="D37" s="237">
        <f t="shared" si="1"/>
        <v>0.93</v>
      </c>
      <c r="E37" s="235">
        <v>0.93</v>
      </c>
      <c r="F37" s="235">
        <v>0.93</v>
      </c>
      <c r="G37" s="235">
        <v>0.93</v>
      </c>
      <c r="H37" s="258" t="s">
        <v>5</v>
      </c>
      <c r="I37" s="5" t="s">
        <v>10</v>
      </c>
      <c r="L37" s="5" t="s">
        <v>140</v>
      </c>
      <c r="M37" s="5" t="s">
        <v>271</v>
      </c>
    </row>
    <row r="38" spans="1:14" x14ac:dyDescent="0.2">
      <c r="A38" s="255" t="s">
        <v>379</v>
      </c>
      <c r="B38" s="235">
        <v>5</v>
      </c>
      <c r="C38" s="238">
        <v>5</v>
      </c>
      <c r="D38" s="238">
        <v>5</v>
      </c>
      <c r="E38" s="235">
        <v>5</v>
      </c>
      <c r="F38" s="235">
        <v>5</v>
      </c>
      <c r="G38" s="235">
        <v>5</v>
      </c>
      <c r="H38" s="258" t="s">
        <v>5</v>
      </c>
      <c r="I38" s="5"/>
      <c r="L38" s="5" t="s">
        <v>140</v>
      </c>
      <c r="M38" s="5" t="s">
        <v>271</v>
      </c>
    </row>
    <row r="39" spans="1:14" x14ac:dyDescent="0.2">
      <c r="A39" s="255" t="s">
        <v>358</v>
      </c>
      <c r="B39" s="235">
        <v>0.03</v>
      </c>
      <c r="C39" s="236">
        <f t="shared" si="0"/>
        <v>0.03</v>
      </c>
      <c r="D39" s="237">
        <f t="shared" si="1"/>
        <v>0.03</v>
      </c>
      <c r="E39" s="235">
        <v>0.03</v>
      </c>
      <c r="F39" s="235">
        <v>0.03</v>
      </c>
      <c r="G39" s="235">
        <v>0.03</v>
      </c>
      <c r="H39" s="258" t="s">
        <v>5</v>
      </c>
      <c r="I39" s="5"/>
      <c r="K39" s="2" t="s">
        <v>33</v>
      </c>
      <c r="L39" s="5" t="s">
        <v>141</v>
      </c>
      <c r="M39" s="5" t="s">
        <v>271</v>
      </c>
    </row>
    <row r="40" spans="1:14" x14ac:dyDescent="0.2">
      <c r="A40" s="255" t="s">
        <v>359</v>
      </c>
      <c r="B40" s="235">
        <v>0.03</v>
      </c>
      <c r="C40" s="236">
        <f t="shared" si="0"/>
        <v>0.03</v>
      </c>
      <c r="D40" s="237">
        <f t="shared" si="1"/>
        <v>0.03</v>
      </c>
      <c r="E40" s="235">
        <v>0.03</v>
      </c>
      <c r="F40" s="235">
        <v>0.03</v>
      </c>
      <c r="G40" s="235">
        <v>0.03</v>
      </c>
      <c r="H40" s="258" t="s">
        <v>5</v>
      </c>
      <c r="I40" s="5" t="s">
        <v>15</v>
      </c>
      <c r="K40" s="2" t="s">
        <v>33</v>
      </c>
      <c r="L40" s="5" t="s">
        <v>142</v>
      </c>
      <c r="M40" s="5" t="s">
        <v>271</v>
      </c>
    </row>
    <row r="41" spans="1:14" x14ac:dyDescent="0.2">
      <c r="A41" s="255" t="s">
        <v>399</v>
      </c>
      <c r="B41" s="235">
        <v>0.03</v>
      </c>
      <c r="C41" s="236">
        <f t="shared" si="0"/>
        <v>0.03</v>
      </c>
      <c r="D41" s="237">
        <f t="shared" si="1"/>
        <v>0.03</v>
      </c>
      <c r="E41" s="235">
        <v>0.03</v>
      </c>
      <c r="F41" s="235">
        <v>0.03</v>
      </c>
      <c r="G41" s="235">
        <v>0.03</v>
      </c>
      <c r="H41" s="258" t="s">
        <v>5</v>
      </c>
      <c r="I41" s="5" t="s">
        <v>15</v>
      </c>
      <c r="K41" s="2" t="s">
        <v>33</v>
      </c>
      <c r="L41" s="5" t="s">
        <v>143</v>
      </c>
      <c r="M41" s="5" t="s">
        <v>271</v>
      </c>
    </row>
    <row r="42" spans="1:14" s="6" customFormat="1" ht="16" x14ac:dyDescent="0.2">
      <c r="A42" s="260" t="s">
        <v>176</v>
      </c>
      <c r="B42" s="237">
        <v>7300</v>
      </c>
      <c r="C42" s="237">
        <v>7300</v>
      </c>
      <c r="D42" s="237">
        <v>7300</v>
      </c>
      <c r="E42" s="242">
        <f>3412/0.497</f>
        <v>6865.1911468812878</v>
      </c>
      <c r="F42" s="242">
        <f>3412/0.497</f>
        <v>6865.1911468812878</v>
      </c>
      <c r="G42" s="242">
        <f t="shared" ref="G42:G52" si="10">E42</f>
        <v>6865.1911468812878</v>
      </c>
      <c r="H42" s="263" t="s">
        <v>45</v>
      </c>
      <c r="I42" s="170" t="s">
        <v>352</v>
      </c>
      <c r="J42" s="129"/>
      <c r="K42" s="8" t="s">
        <v>43</v>
      </c>
      <c r="L42" s="9"/>
      <c r="M42" s="9"/>
    </row>
    <row r="43" spans="1:14" x14ac:dyDescent="0.2">
      <c r="A43" s="261" t="s">
        <v>178</v>
      </c>
      <c r="B43" s="239">
        <v>1037</v>
      </c>
      <c r="C43" s="239">
        <f t="shared" ref="C43:C52" si="11">B43</f>
        <v>1037</v>
      </c>
      <c r="D43" s="237">
        <f t="shared" ref="D43:D52" si="12">C43</f>
        <v>1037</v>
      </c>
      <c r="E43" s="239">
        <f t="shared" ref="E43:F52" si="13">B43</f>
        <v>1037</v>
      </c>
      <c r="F43" s="239">
        <f t="shared" si="13"/>
        <v>1037</v>
      </c>
      <c r="G43" s="239">
        <f t="shared" si="10"/>
        <v>1037</v>
      </c>
      <c r="H43" s="263" t="s">
        <v>102</v>
      </c>
      <c r="I43" s="188" t="s">
        <v>318</v>
      </c>
      <c r="J43" s="22"/>
      <c r="K43" s="2" t="s">
        <v>34</v>
      </c>
      <c r="L43" s="5"/>
      <c r="M43" s="5"/>
      <c r="N43" s="22"/>
    </row>
    <row r="44" spans="1:14" ht="16" x14ac:dyDescent="0.2">
      <c r="A44" s="262" t="s">
        <v>317</v>
      </c>
      <c r="B44" s="244" t="s">
        <v>154</v>
      </c>
      <c r="C44" s="245" t="s">
        <v>154</v>
      </c>
      <c r="D44" s="245" t="s">
        <v>154</v>
      </c>
      <c r="E44" s="245" t="s">
        <v>154</v>
      </c>
      <c r="F44" s="245" t="s">
        <v>154</v>
      </c>
      <c r="G44" s="245" t="s">
        <v>154</v>
      </c>
      <c r="H44" s="264" t="s">
        <v>380</v>
      </c>
      <c r="K44" s="2" t="s">
        <v>87</v>
      </c>
      <c r="L44" s="9" t="s">
        <v>43</v>
      </c>
      <c r="M44" s="9"/>
    </row>
    <row r="45" spans="1:14" s="6" customFormat="1" ht="16" x14ac:dyDescent="0.2">
      <c r="A45" s="260" t="s">
        <v>226</v>
      </c>
      <c r="B45" s="7">
        <v>10</v>
      </c>
      <c r="C45" s="7">
        <f>B45</f>
        <v>10</v>
      </c>
      <c r="D45" s="7">
        <f>C45</f>
        <v>10</v>
      </c>
      <c r="E45" s="7">
        <f>B45</f>
        <v>10</v>
      </c>
      <c r="F45" s="7">
        <f>C45</f>
        <v>10</v>
      </c>
      <c r="G45" s="7">
        <f>E45</f>
        <v>10</v>
      </c>
      <c r="H45" s="263" t="s">
        <v>5</v>
      </c>
      <c r="I45" s="7"/>
      <c r="J45" s="129"/>
      <c r="K45" s="8" t="s">
        <v>43</v>
      </c>
      <c r="L45" s="9" t="s">
        <v>225</v>
      </c>
      <c r="M45" s="9"/>
    </row>
    <row r="46" spans="1:14" s="6" customFormat="1" ht="16" x14ac:dyDescent="0.2">
      <c r="A46" s="260" t="s">
        <v>227</v>
      </c>
      <c r="B46" s="7">
        <v>90</v>
      </c>
      <c r="C46" s="7">
        <f>B46</f>
        <v>90</v>
      </c>
      <c r="D46" s="7">
        <f>C46</f>
        <v>90</v>
      </c>
      <c r="E46" s="7">
        <f>B46</f>
        <v>90</v>
      </c>
      <c r="F46" s="7">
        <f>C46</f>
        <v>90</v>
      </c>
      <c r="G46" s="7">
        <f>E46</f>
        <v>90</v>
      </c>
      <c r="H46" s="263" t="s">
        <v>5</v>
      </c>
      <c r="I46" s="1"/>
      <c r="J46" s="129"/>
      <c r="K46" s="8" t="s">
        <v>43</v>
      </c>
      <c r="L46" s="9" t="s">
        <v>225</v>
      </c>
      <c r="M46" s="9"/>
    </row>
    <row r="47" spans="1:14" x14ac:dyDescent="0.2">
      <c r="A47" s="265" t="s">
        <v>384</v>
      </c>
      <c r="B47" s="243">
        <v>83</v>
      </c>
      <c r="C47" s="243">
        <f t="shared" si="11"/>
        <v>83</v>
      </c>
      <c r="D47" s="237">
        <f t="shared" si="12"/>
        <v>83</v>
      </c>
      <c r="E47" s="243">
        <f t="shared" si="13"/>
        <v>83</v>
      </c>
      <c r="F47" s="243">
        <f t="shared" si="13"/>
        <v>83</v>
      </c>
      <c r="G47" s="243">
        <f t="shared" si="10"/>
        <v>83</v>
      </c>
      <c r="H47" s="108" t="s">
        <v>5</v>
      </c>
      <c r="I47" s="2" t="s">
        <v>204</v>
      </c>
      <c r="K47" s="2" t="s">
        <v>34</v>
      </c>
      <c r="L47" s="2" t="s">
        <v>7</v>
      </c>
    </row>
    <row r="48" spans="1:14" x14ac:dyDescent="0.2">
      <c r="A48" s="265" t="s">
        <v>385</v>
      </c>
      <c r="B48" s="243">
        <v>83</v>
      </c>
      <c r="C48" s="243">
        <f t="shared" si="11"/>
        <v>83</v>
      </c>
      <c r="D48" s="237">
        <f t="shared" si="12"/>
        <v>83</v>
      </c>
      <c r="E48" s="243">
        <f t="shared" si="13"/>
        <v>83</v>
      </c>
      <c r="F48" s="243">
        <f t="shared" si="13"/>
        <v>83</v>
      </c>
      <c r="G48" s="243">
        <f t="shared" si="10"/>
        <v>83</v>
      </c>
      <c r="H48" s="108" t="s">
        <v>5</v>
      </c>
      <c r="I48" s="5"/>
      <c r="K48" s="2" t="s">
        <v>34</v>
      </c>
      <c r="L48" s="5" t="s">
        <v>4</v>
      </c>
      <c r="M48" s="5"/>
    </row>
    <row r="49" spans="1:13" x14ac:dyDescent="0.2">
      <c r="A49" s="265" t="s">
        <v>386</v>
      </c>
      <c r="B49" s="243">
        <v>83</v>
      </c>
      <c r="C49" s="243">
        <f t="shared" si="11"/>
        <v>83</v>
      </c>
      <c r="D49" s="237">
        <f t="shared" si="12"/>
        <v>83</v>
      </c>
      <c r="E49" s="243">
        <f t="shared" si="13"/>
        <v>83</v>
      </c>
      <c r="F49" s="243">
        <f t="shared" si="13"/>
        <v>83</v>
      </c>
      <c r="G49" s="243">
        <f t="shared" si="10"/>
        <v>83</v>
      </c>
      <c r="H49" s="108" t="s">
        <v>5</v>
      </c>
      <c r="I49" s="5"/>
      <c r="K49" s="2" t="s">
        <v>34</v>
      </c>
      <c r="L49" s="5" t="s">
        <v>9</v>
      </c>
      <c r="M49" s="5"/>
    </row>
    <row r="50" spans="1:13" x14ac:dyDescent="0.2">
      <c r="A50" s="265" t="s">
        <v>387</v>
      </c>
      <c r="B50" s="243">
        <v>95</v>
      </c>
      <c r="C50" s="243">
        <f t="shared" si="11"/>
        <v>95</v>
      </c>
      <c r="D50" s="237">
        <f t="shared" si="12"/>
        <v>95</v>
      </c>
      <c r="E50" s="243">
        <f t="shared" si="13"/>
        <v>95</v>
      </c>
      <c r="F50" s="243">
        <f t="shared" si="13"/>
        <v>95</v>
      </c>
      <c r="G50" s="243">
        <f t="shared" si="10"/>
        <v>95</v>
      </c>
      <c r="H50" s="108" t="s">
        <v>5</v>
      </c>
      <c r="I50" s="5"/>
      <c r="K50" s="2" t="s">
        <v>34</v>
      </c>
      <c r="L50" s="5" t="s">
        <v>137</v>
      </c>
      <c r="M50" s="5"/>
    </row>
    <row r="51" spans="1:13" x14ac:dyDescent="0.2">
      <c r="A51" s="265" t="s">
        <v>388</v>
      </c>
      <c r="B51" s="243">
        <v>95</v>
      </c>
      <c r="C51" s="243">
        <f t="shared" si="11"/>
        <v>95</v>
      </c>
      <c r="D51" s="237">
        <f t="shared" si="12"/>
        <v>95</v>
      </c>
      <c r="E51" s="243">
        <f t="shared" si="13"/>
        <v>95</v>
      </c>
      <c r="F51" s="243">
        <f t="shared" si="13"/>
        <v>95</v>
      </c>
      <c r="G51" s="243">
        <f t="shared" si="10"/>
        <v>95</v>
      </c>
      <c r="H51" s="108" t="s">
        <v>5</v>
      </c>
      <c r="I51" s="5"/>
      <c r="K51" s="2" t="s">
        <v>34</v>
      </c>
      <c r="L51" s="5" t="s">
        <v>35</v>
      </c>
      <c r="M51" s="5"/>
    </row>
    <row r="52" spans="1:13" x14ac:dyDescent="0.2">
      <c r="A52" s="265" t="s">
        <v>224</v>
      </c>
      <c r="B52" s="243">
        <v>95</v>
      </c>
      <c r="C52" s="243">
        <f t="shared" si="11"/>
        <v>95</v>
      </c>
      <c r="D52" s="237">
        <f t="shared" si="12"/>
        <v>95</v>
      </c>
      <c r="E52" s="243">
        <f t="shared" si="13"/>
        <v>95</v>
      </c>
      <c r="F52" s="243">
        <f t="shared" si="13"/>
        <v>95</v>
      </c>
      <c r="G52" s="243">
        <f t="shared" si="10"/>
        <v>95</v>
      </c>
      <c r="H52" s="108" t="s">
        <v>5</v>
      </c>
      <c r="I52" s="5"/>
      <c r="K52" s="2" t="s">
        <v>34</v>
      </c>
      <c r="L52" s="5"/>
      <c r="M52" s="5"/>
    </row>
    <row r="53" spans="1:13" x14ac:dyDescent="0.2">
      <c r="A53" s="165" t="s">
        <v>91</v>
      </c>
    </row>
    <row r="54" spans="1:13" x14ac:dyDescent="0.2">
      <c r="A54" s="165" t="s">
        <v>91</v>
      </c>
      <c r="H54" s="181"/>
    </row>
    <row r="55" spans="1:13" x14ac:dyDescent="0.2">
      <c r="A55" s="165" t="s">
        <v>314</v>
      </c>
    </row>
    <row r="56" spans="1:13" x14ac:dyDescent="0.2">
      <c r="A56" s="165" t="s">
        <v>316</v>
      </c>
    </row>
    <row r="57" spans="1:13" ht="17" x14ac:dyDescent="0.2">
      <c r="A57" s="182" t="s">
        <v>55</v>
      </c>
      <c r="B57" s="37">
        <f>Summary!$C8</f>
        <v>101.77855635177349</v>
      </c>
      <c r="C57" s="37">
        <f>Summary!$C15</f>
        <v>138.85016255684744</v>
      </c>
      <c r="D57" s="37">
        <f>Summary!$C22</f>
        <v>68.993268946269538</v>
      </c>
      <c r="E57" s="37">
        <f>Summary!$C29</f>
        <v>120.54986552508132</v>
      </c>
      <c r="F57" s="37">
        <f>Summary!$C36</f>
        <v>68.174046025083626</v>
      </c>
      <c r="G57" s="37">
        <f>Summary!$C43</f>
        <v>105.82415320228161</v>
      </c>
    </row>
    <row r="58" spans="1:13" ht="17" x14ac:dyDescent="0.2">
      <c r="A58" s="182" t="s">
        <v>56</v>
      </c>
      <c r="B58" s="37">
        <f>Summary!$D8</f>
        <v>48.926940745086043</v>
      </c>
      <c r="C58" s="37">
        <f>Summary!$D15</f>
        <v>77.190283938483162</v>
      </c>
      <c r="D58" s="37">
        <f>Summary!$D22</f>
        <v>17.95391646175878</v>
      </c>
      <c r="E58" s="37">
        <f>Summary!$D29</f>
        <v>97.069803756598645</v>
      </c>
      <c r="F58" s="37">
        <f>Summary!$D36</f>
        <v>89.229017929409736</v>
      </c>
      <c r="G58" s="37">
        <f>Summary!$D43</f>
        <v>88.847245021366575</v>
      </c>
    </row>
    <row r="59" spans="1:13" ht="17" x14ac:dyDescent="0.2">
      <c r="A59" s="182" t="s">
        <v>57</v>
      </c>
      <c r="B59" s="37">
        <f>Summary!$E8</f>
        <v>386.24299999999999</v>
      </c>
      <c r="C59" s="37">
        <f>Summary!$E15</f>
        <v>386.24299999999999</v>
      </c>
      <c r="D59" s="37">
        <f>Summary!$E22</f>
        <v>386.24299999999999</v>
      </c>
      <c r="E59" s="37">
        <f>Summary!$E29</f>
        <v>363.23726358148895</v>
      </c>
      <c r="F59" s="37">
        <f>Summary!$E36</f>
        <v>363.23726358148895</v>
      </c>
      <c r="G59" s="37">
        <f>Summary!$E43</f>
        <v>363.23726358148895</v>
      </c>
    </row>
    <row r="60" spans="1:13" ht="17" x14ac:dyDescent="0.2">
      <c r="A60" s="183" t="s">
        <v>62</v>
      </c>
      <c r="B60" s="37">
        <f t="shared" ref="B60:G60" si="14">SUM(B57:B59)</f>
        <v>536.94849709685946</v>
      </c>
      <c r="C60" s="37">
        <f t="shared" si="14"/>
        <v>602.28344649533062</v>
      </c>
      <c r="D60" s="37">
        <f t="shared" si="14"/>
        <v>473.1901854080283</v>
      </c>
      <c r="E60" s="37">
        <f t="shared" si="14"/>
        <v>580.85693286316894</v>
      </c>
      <c r="F60" s="37">
        <f t="shared" si="14"/>
        <v>520.64032753598235</v>
      </c>
      <c r="G60" s="37">
        <f t="shared" si="14"/>
        <v>557.90866180513717</v>
      </c>
    </row>
    <row r="62" spans="1:13" x14ac:dyDescent="0.2">
      <c r="A62" s="165" t="s">
        <v>315</v>
      </c>
    </row>
    <row r="63" spans="1:13" ht="17" x14ac:dyDescent="0.2">
      <c r="A63" s="182" t="s">
        <v>55</v>
      </c>
      <c r="B63" s="37">
        <f>Summary!$I8</f>
        <v>245.96484451678594</v>
      </c>
      <c r="C63" s="37">
        <f>Summary!$I15</f>
        <v>335.55455951238133</v>
      </c>
      <c r="D63" s="37">
        <f>Summary!$I22</f>
        <v>166.73373328681805</v>
      </c>
      <c r="E63" s="37">
        <f>Summary!$I29</f>
        <v>291.32884168561321</v>
      </c>
      <c r="F63" s="37">
        <f>Summary!$I36</f>
        <v>164.75394456061878</v>
      </c>
      <c r="G63" s="37">
        <f>Summary!$I43</f>
        <v>255.74170357218054</v>
      </c>
    </row>
    <row r="64" spans="1:13" ht="17" x14ac:dyDescent="0.2">
      <c r="A64" s="182" t="s">
        <v>56</v>
      </c>
      <c r="B64" s="37">
        <f>Summary!$J8</f>
        <v>48.926940745086043</v>
      </c>
      <c r="C64" s="37">
        <f>Summary!$J15</f>
        <v>77.190283938483162</v>
      </c>
      <c r="D64" s="37">
        <f>Summary!$J22</f>
        <v>17.95391646175878</v>
      </c>
      <c r="E64" s="37">
        <f>Summary!$J29</f>
        <v>97.069803756598645</v>
      </c>
      <c r="F64" s="37">
        <f>Summary!$J36</f>
        <v>89.229017929409736</v>
      </c>
      <c r="G64" s="37">
        <f>Summary!$J43</f>
        <v>88.847245021366575</v>
      </c>
    </row>
    <row r="65" spans="1:7" ht="17" x14ac:dyDescent="0.2">
      <c r="A65" s="182" t="s">
        <v>57</v>
      </c>
      <c r="B65" s="37">
        <f>Summary!$K8</f>
        <v>386.24299999999999</v>
      </c>
      <c r="C65" s="37">
        <f>Summary!$K15</f>
        <v>386.24299999999999</v>
      </c>
      <c r="D65" s="37">
        <f>Summary!$K22</f>
        <v>386.24299999999999</v>
      </c>
      <c r="E65" s="37">
        <f>Summary!$K29</f>
        <v>363.23726358148895</v>
      </c>
      <c r="F65" s="37">
        <f>Summary!$K36</f>
        <v>363.23726358148895</v>
      </c>
      <c r="G65" s="37">
        <f>Summary!$K43</f>
        <v>363.23726358148895</v>
      </c>
    </row>
    <row r="66" spans="1:7" ht="17" x14ac:dyDescent="0.2">
      <c r="A66" s="183" t="s">
        <v>62</v>
      </c>
      <c r="B66" s="37">
        <f t="shared" ref="B66:G66" si="15">SUM(B63:B65)</f>
        <v>681.13478526187191</v>
      </c>
      <c r="C66" s="37">
        <f>SUM(C63:C65)</f>
        <v>798.98784345086449</v>
      </c>
      <c r="D66" s="37">
        <f t="shared" si="15"/>
        <v>570.9306497485768</v>
      </c>
      <c r="E66" s="37">
        <f t="shared" si="15"/>
        <v>751.63590902370083</v>
      </c>
      <c r="F66" s="37">
        <f t="shared" si="15"/>
        <v>617.22022607151746</v>
      </c>
      <c r="G66" s="37">
        <f t="shared" si="15"/>
        <v>707.82621217503606</v>
      </c>
    </row>
  </sheetData>
  <scenarios current="0">
    <scenario name="Laurenzi" count="1" user="Lesley Fleischman" comment="Created by Lesley Fleischman on 2/12/2021">
      <inputCells r="B4" val="1.27829466666663" numFmtId="43"/>
    </scenario>
  </scenarios>
  <dataValidations count="1">
    <dataValidation type="list" allowBlank="1" showInputMessage="1" showErrorMessage="1" sqref="B44:G46 B20:G20 B9:G9" xr:uid="{8758F60F-898F-3440-BF7C-AD42452B2742}">
      <formula1>$O$1:$P$1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7904-D9D9-704D-B54B-5002A4739E20}">
  <sheetPr codeName="Sheet22"/>
  <dimension ref="A1:K69"/>
  <sheetViews>
    <sheetView workbookViewId="0">
      <selection activeCell="C5" sqref="C5"/>
    </sheetView>
  </sheetViews>
  <sheetFormatPr baseColWidth="10" defaultColWidth="11.1640625" defaultRowHeight="16" x14ac:dyDescent="0.2"/>
  <cols>
    <col min="2" max="2" width="42.33203125" bestFit="1" customWidth="1"/>
    <col min="3" max="3" width="27.5" customWidth="1"/>
    <col min="4" max="5" width="19.6640625" customWidth="1"/>
    <col min="6" max="11" width="12.83203125" customWidth="1"/>
  </cols>
  <sheetData>
    <row r="1" spans="1:11" s="39" customFormat="1" ht="15" x14ac:dyDescent="0.2">
      <c r="A1" s="39" t="s">
        <v>127</v>
      </c>
    </row>
    <row r="2" spans="1:11" s="149" customFormat="1" ht="15" x14ac:dyDescent="0.2">
      <c r="F2" s="144" t="s">
        <v>228</v>
      </c>
      <c r="G2" s="150"/>
      <c r="H2" s="150"/>
      <c r="I2" s="144" t="s">
        <v>225</v>
      </c>
      <c r="J2" s="150"/>
      <c r="K2" s="150"/>
    </row>
    <row r="3" spans="1:11" s="2" customFormat="1" ht="15" x14ac:dyDescent="0.2">
      <c r="B3" s="43" t="s">
        <v>42</v>
      </c>
      <c r="C3" s="42" t="s">
        <v>48</v>
      </c>
      <c r="D3" s="42" t="s">
        <v>52</v>
      </c>
      <c r="E3" s="42" t="s">
        <v>53</v>
      </c>
      <c r="F3" s="144" t="s">
        <v>48</v>
      </c>
      <c r="G3" s="144" t="s">
        <v>52</v>
      </c>
      <c r="H3" s="144" t="s">
        <v>53</v>
      </c>
      <c r="I3" s="144" t="s">
        <v>48</v>
      </c>
      <c r="J3" s="144" t="s">
        <v>52</v>
      </c>
      <c r="K3" s="144" t="s">
        <v>53</v>
      </c>
    </row>
    <row r="4" spans="1:11" s="2" customFormat="1" ht="15" x14ac:dyDescent="0.2">
      <c r="B4" s="43" t="s">
        <v>49</v>
      </c>
      <c r="C4" s="63">
        <f>IF('Coal Parameters'!$C$15="No",F4,I4)</f>
        <v>218.57631136275904</v>
      </c>
      <c r="D4" s="63">
        <f>IF('Coal Parameters'!$C$15="No",G4,J4)</f>
        <v>7868.7472090593255</v>
      </c>
      <c r="E4" s="63">
        <f>IF('Coal Parameters'!$C$15="No",H4,K4)</f>
        <v>19016.139088560038</v>
      </c>
      <c r="F4" s="148">
        <f>D14</f>
        <v>218.57631136275904</v>
      </c>
      <c r="G4" s="148">
        <f>F4*Conversions!$B$7</f>
        <v>7868.7472090593255</v>
      </c>
      <c r="H4" s="148">
        <f>F4*Conversions!$B$6</f>
        <v>19016.139088560038</v>
      </c>
      <c r="I4" s="148">
        <f>F4*(1+'Coal Parameters'!$C$16/100)</f>
        <v>240.43394249903497</v>
      </c>
      <c r="J4" s="148">
        <f>G4*(1+'Coal Parameters'!$C$16/100)</f>
        <v>8655.6219299652585</v>
      </c>
      <c r="K4" s="148">
        <f>H4*(1+'Coal Parameters'!$C$16/100)</f>
        <v>20917.752997416042</v>
      </c>
    </row>
    <row r="5" spans="1:11" s="2" customFormat="1" ht="15" x14ac:dyDescent="0.2">
      <c r="B5" s="43" t="s">
        <v>50</v>
      </c>
      <c r="C5" s="63">
        <f>IF('Coal Parameters'!$C$15="No",F5,I5)</f>
        <v>0.20721034317189557</v>
      </c>
      <c r="D5" s="63">
        <f>IF('Coal Parameters'!$C$15="No",G5,J5)</f>
        <v>7.4595723541882411</v>
      </c>
      <c r="E5" s="63">
        <f>IF('Coal Parameters'!$C$15="No",H5,K5)</f>
        <v>18.027299855954915</v>
      </c>
      <c r="F5" s="148">
        <f>F4*Conversions!$B$8</f>
        <v>0.20721034317189557</v>
      </c>
      <c r="G5" s="148">
        <f>F5*Conversions!$B$7</f>
        <v>7.4595723541882411</v>
      </c>
      <c r="H5" s="148">
        <f>F5*Conversions!$B$6</f>
        <v>18.027299855954915</v>
      </c>
      <c r="I5" s="148">
        <f>F5*(1+'Coal Parameters'!$C$16/100)</f>
        <v>0.22793137748908515</v>
      </c>
      <c r="J5" s="148">
        <f>G5*(1+'Coal Parameters'!$C$16/100)</f>
        <v>8.2055295896070657</v>
      </c>
      <c r="K5" s="148">
        <f>H5*(1+'Coal Parameters'!$C$16/100)</f>
        <v>19.830029841550409</v>
      </c>
    </row>
    <row r="6" spans="1:11" s="2" customFormat="1" ht="15" x14ac:dyDescent="0.2">
      <c r="B6" s="43" t="s">
        <v>51</v>
      </c>
      <c r="C6" s="63">
        <f>IF('Coal Parameters'!$C$15="No",F6,I6)</f>
        <v>2.3169089004452457</v>
      </c>
      <c r="D6" s="63">
        <f>IF('Coal Parameters'!$C$15="No",G6,J6)</f>
        <v>83.408720416028842</v>
      </c>
      <c r="E6" s="63">
        <f>IF('Coal Parameters'!$C$15="No",H6,K6)</f>
        <v>201.57107433873637</v>
      </c>
      <c r="F6" s="148">
        <f>F4/10^6*C8</f>
        <v>2.3169089004452457</v>
      </c>
      <c r="G6" s="148">
        <f>F6*Conversions!$B$7</f>
        <v>83.408720416028842</v>
      </c>
      <c r="H6" s="148">
        <f>F6*Conversions!$B$6</f>
        <v>201.57107433873637</v>
      </c>
      <c r="I6" s="148">
        <f>F6*(1+'Coal Parameters'!$C$16/100)</f>
        <v>2.5485997904897704</v>
      </c>
      <c r="J6" s="148">
        <f>G6*(1+'Coal Parameters'!$C$16/100)</f>
        <v>91.749592457631735</v>
      </c>
      <c r="K6" s="148">
        <f>H6*(1+'Coal Parameters'!$C$16/100)</f>
        <v>221.72818177261001</v>
      </c>
    </row>
    <row r="7" spans="1:11" s="2" customFormat="1" ht="15" x14ac:dyDescent="0.2">
      <c r="C7" s="69"/>
    </row>
    <row r="8" spans="1:11" s="2" customFormat="1" ht="15" x14ac:dyDescent="0.2">
      <c r="B8" s="2" t="s">
        <v>44</v>
      </c>
      <c r="C8" s="57">
        <f>'Coal Parameters'!C$13</f>
        <v>10600</v>
      </c>
      <c r="D8" s="26" t="s">
        <v>45</v>
      </c>
    </row>
    <row r="9" spans="1:11" s="2" customFormat="1" ht="15" x14ac:dyDescent="0.2">
      <c r="B9" s="5" t="s">
        <v>131</v>
      </c>
      <c r="C9" s="17">
        <f>'Coal Parameters'!C$14</f>
        <v>24</v>
      </c>
      <c r="D9" s="26" t="s">
        <v>132</v>
      </c>
    </row>
    <row r="10" spans="1:11" s="2" customFormat="1" x14ac:dyDescent="0.2">
      <c r="B10" s="5" t="s">
        <v>100</v>
      </c>
      <c r="C10" s="103">
        <f>Conversions!B$2</f>
        <v>51505.644797356501</v>
      </c>
      <c r="D10" s="111" t="s">
        <v>101</v>
      </c>
    </row>
    <row r="11" spans="1:11" s="2" customFormat="1" x14ac:dyDescent="0.2">
      <c r="B11" s="5" t="s">
        <v>111</v>
      </c>
      <c r="C11" s="103">
        <f>Conversions!B$3</f>
        <v>35.31</v>
      </c>
      <c r="D11" s="111" t="s">
        <v>112</v>
      </c>
    </row>
    <row r="12" spans="1:11" s="2" customFormat="1" ht="15" x14ac:dyDescent="0.2">
      <c r="B12" s="5"/>
      <c r="C12" s="115"/>
      <c r="D12" s="111"/>
    </row>
    <row r="13" spans="1:11" s="2" customFormat="1" ht="15" x14ac:dyDescent="0.2">
      <c r="C13" s="46" t="s">
        <v>183</v>
      </c>
      <c r="D13" s="3" t="s">
        <v>133</v>
      </c>
      <c r="E13" s="3"/>
    </row>
    <row r="14" spans="1:11" s="2" customFormat="1" ht="15" x14ac:dyDescent="0.2">
      <c r="B14" s="2" t="s">
        <v>130</v>
      </c>
      <c r="C14" s="126">
        <f>'Coal Parameters'!C4</f>
        <v>5.2458314727062172</v>
      </c>
      <c r="D14" s="125">
        <f>C14*10^3/C9</f>
        <v>218.57631136275904</v>
      </c>
      <c r="E14" s="3"/>
    </row>
    <row r="15" spans="1:11" s="2" customFormat="1" ht="15" x14ac:dyDescent="0.2">
      <c r="C15" s="69"/>
    </row>
    <row r="16" spans="1:11" s="39" customFormat="1" ht="15" x14ac:dyDescent="0.2">
      <c r="A16" s="39" t="s">
        <v>128</v>
      </c>
    </row>
    <row r="17" spans="1:5" s="2" customFormat="1" ht="15" x14ac:dyDescent="0.2">
      <c r="B17" s="43" t="s">
        <v>42</v>
      </c>
      <c r="C17" s="42" t="s">
        <v>71</v>
      </c>
      <c r="D17" s="145" t="s">
        <v>228</v>
      </c>
      <c r="E17" s="145" t="s">
        <v>225</v>
      </c>
    </row>
    <row r="18" spans="1:5" s="2" customFormat="1" ht="15" x14ac:dyDescent="0.2">
      <c r="B18" s="43" t="s">
        <v>49</v>
      </c>
      <c r="C18" s="63">
        <f>IF('Coal Parameters'!$C$15="No",D18,E18)</f>
        <v>98.916666666666671</v>
      </c>
      <c r="D18" s="148">
        <f>D26</f>
        <v>98.916666666666671</v>
      </c>
      <c r="E18" s="148">
        <f>D18*(1+'Coal Parameters'!$C$16/100)</f>
        <v>108.80833333333335</v>
      </c>
    </row>
    <row r="19" spans="1:5" s="2" customFormat="1" ht="15" x14ac:dyDescent="0.2">
      <c r="B19" s="43" t="s">
        <v>50</v>
      </c>
      <c r="C19" s="63">
        <f>IF('Coal Parameters'!$C$15="No",D19,E19)</f>
        <v>9.3772999999999995E-2</v>
      </c>
      <c r="D19" s="148">
        <f>D18*Conversions!$B$8</f>
        <v>9.3772999999999995E-2</v>
      </c>
      <c r="E19" s="148">
        <f>D19*(1+'Coal Parameters'!$C$16/100)</f>
        <v>0.1031503</v>
      </c>
    </row>
    <row r="20" spans="1:5" s="2" customFormat="1" ht="15" x14ac:dyDescent="0.2">
      <c r="B20" s="43" t="s">
        <v>51</v>
      </c>
      <c r="C20" s="63">
        <f>IF('Coal Parameters'!$C$15="No",D20,E20)</f>
        <v>1.0485166666666668</v>
      </c>
      <c r="D20" s="148">
        <f>D18/10^6*C$22</f>
        <v>1.0485166666666668</v>
      </c>
      <c r="E20" s="148">
        <f>D20*(1+'Coal Parameters'!$C$16/100)</f>
        <v>1.1533683333333336</v>
      </c>
    </row>
    <row r="21" spans="1:5" s="2" customFormat="1" ht="15" x14ac:dyDescent="0.2">
      <c r="C21" s="69"/>
    </row>
    <row r="22" spans="1:5" s="2" customFormat="1" ht="15" x14ac:dyDescent="0.2">
      <c r="B22" s="2" t="s">
        <v>44</v>
      </c>
      <c r="C22" s="57">
        <f>'Coal Parameters'!C$13</f>
        <v>10600</v>
      </c>
      <c r="D22" s="26" t="s">
        <v>45</v>
      </c>
    </row>
    <row r="23" spans="1:5" s="2" customFormat="1" ht="15" x14ac:dyDescent="0.2">
      <c r="B23" s="5" t="s">
        <v>131</v>
      </c>
      <c r="C23" s="17">
        <f>'Coal Parameters'!C$14</f>
        <v>24</v>
      </c>
      <c r="D23" s="26" t="s">
        <v>132</v>
      </c>
    </row>
    <row r="24" spans="1:5" s="80" customFormat="1" ht="15" x14ac:dyDescent="0.2">
      <c r="B24" s="19"/>
      <c r="C24" s="98"/>
      <c r="D24" s="107"/>
    </row>
    <row r="25" spans="1:5" s="2" customFormat="1" ht="15" x14ac:dyDescent="0.2">
      <c r="C25" s="69" t="s">
        <v>134</v>
      </c>
      <c r="D25" s="3" t="s">
        <v>133</v>
      </c>
      <c r="E25" s="3"/>
    </row>
    <row r="26" spans="1:5" s="2" customFormat="1" ht="15" x14ac:dyDescent="0.2">
      <c r="B26" s="2" t="s">
        <v>152</v>
      </c>
      <c r="C26" s="95">
        <f>'Coal Parameters'!C5</f>
        <v>2374</v>
      </c>
      <c r="D26" s="59">
        <f>C26/C$23</f>
        <v>98.916666666666671</v>
      </c>
      <c r="E26" s="59"/>
    </row>
    <row r="27" spans="1:5" s="2" customFormat="1" ht="15" x14ac:dyDescent="0.2">
      <c r="C27" s="69"/>
    </row>
    <row r="28" spans="1:5" s="2" customFormat="1" ht="15" x14ac:dyDescent="0.2">
      <c r="C28" s="69"/>
    </row>
    <row r="29" spans="1:5" s="39" customFormat="1" ht="15" x14ac:dyDescent="0.2">
      <c r="A29" s="39" t="s">
        <v>181</v>
      </c>
    </row>
    <row r="30" spans="1:5" s="2" customFormat="1" ht="15" x14ac:dyDescent="0.2">
      <c r="B30" s="43" t="s">
        <v>42</v>
      </c>
      <c r="C30" s="42" t="s">
        <v>71</v>
      </c>
      <c r="D30" s="144" t="s">
        <v>228</v>
      </c>
      <c r="E30" s="144" t="s">
        <v>225</v>
      </c>
    </row>
    <row r="31" spans="1:5" s="2" customFormat="1" ht="15" x14ac:dyDescent="0.2">
      <c r="B31" s="43" t="s">
        <v>49</v>
      </c>
      <c r="C31" s="63">
        <f>IF('Coal Parameters'!$C$15="No",D31,E31)</f>
        <v>28.541666666666668</v>
      </c>
      <c r="D31" s="148">
        <f>D40</f>
        <v>28.541666666666668</v>
      </c>
      <c r="E31" s="148">
        <f>D31*(1+'Coal Parameters'!$C$16/100)</f>
        <v>31.395833333333336</v>
      </c>
    </row>
    <row r="32" spans="1:5" s="2" customFormat="1" ht="15" x14ac:dyDescent="0.2">
      <c r="B32" s="43" t="s">
        <v>50</v>
      </c>
      <c r="C32" s="63">
        <f>IF('Coal Parameters'!$C$15="No",D32,E32)</f>
        <v>2.7057499999999998E-2</v>
      </c>
      <c r="D32" s="148">
        <f>D31*Conversions!$B$8</f>
        <v>2.7057499999999998E-2</v>
      </c>
      <c r="E32" s="148">
        <f>D32*(1+'Coal Parameters'!$C$16/100)</f>
        <v>2.9763250000000002E-2</v>
      </c>
    </row>
    <row r="33" spans="1:5" s="2" customFormat="1" ht="15" x14ac:dyDescent="0.2">
      <c r="B33" s="43" t="s">
        <v>51</v>
      </c>
      <c r="C33" s="63">
        <f>IF('Coal Parameters'!$C$15="No",D33,E33)</f>
        <v>0.30254166666666671</v>
      </c>
      <c r="D33" s="148">
        <f>D31/10^6*C$22</f>
        <v>0.30254166666666671</v>
      </c>
      <c r="E33" s="148">
        <f>D33*(1+'Coal Parameters'!$C$16/100)</f>
        <v>0.3327958333333334</v>
      </c>
    </row>
    <row r="34" spans="1:5" s="2" customFormat="1" ht="15" x14ac:dyDescent="0.2">
      <c r="C34" s="69"/>
    </row>
    <row r="35" spans="1:5" s="2" customFormat="1" ht="15" x14ac:dyDescent="0.2">
      <c r="B35" s="2" t="s">
        <v>44</v>
      </c>
      <c r="C35" s="57">
        <f>'Coal Parameters'!C$13</f>
        <v>10600</v>
      </c>
      <c r="D35" s="26" t="s">
        <v>45</v>
      </c>
    </row>
    <row r="36" spans="1:5" s="2" customFormat="1" ht="15" x14ac:dyDescent="0.2">
      <c r="B36" s="5" t="s">
        <v>131</v>
      </c>
      <c r="C36" s="17">
        <f>'Coal Parameters'!C$14</f>
        <v>24</v>
      </c>
      <c r="D36" s="26" t="s">
        <v>132</v>
      </c>
    </row>
    <row r="37" spans="1:5" s="2" customFormat="1" ht="15" x14ac:dyDescent="0.2">
      <c r="B37" s="164" t="s">
        <v>323</v>
      </c>
      <c r="C37" s="17">
        <f>'Coal Parameters'!C7</f>
        <v>13.7</v>
      </c>
      <c r="D37" s="170" t="s">
        <v>322</v>
      </c>
    </row>
    <row r="38" spans="1:5" s="2" customFormat="1" ht="15" x14ac:dyDescent="0.2">
      <c r="B38" s="164" t="s">
        <v>324</v>
      </c>
      <c r="C38" s="17">
        <f>'Coal Parameters'!C8</f>
        <v>50</v>
      </c>
      <c r="D38" s="170" t="s">
        <v>321</v>
      </c>
    </row>
    <row r="39" spans="1:5" s="2" customFormat="1" ht="15" x14ac:dyDescent="0.2">
      <c r="B39" s="5"/>
      <c r="C39" s="96"/>
      <c r="D39" s="3" t="s">
        <v>133</v>
      </c>
      <c r="E39" s="3"/>
    </row>
    <row r="40" spans="1:5" s="2" customFormat="1" ht="15" x14ac:dyDescent="0.2">
      <c r="B40" s="5" t="s">
        <v>144</v>
      </c>
      <c r="C40" s="96">
        <f>C37*C38</f>
        <v>685</v>
      </c>
      <c r="D40" s="59">
        <f>C40/C$36</f>
        <v>28.541666666666668</v>
      </c>
      <c r="E40" s="59"/>
    </row>
    <row r="41" spans="1:5" s="2" customFormat="1" ht="15" x14ac:dyDescent="0.2">
      <c r="C41" s="69"/>
    </row>
    <row r="42" spans="1:5" s="39" customFormat="1" ht="15" x14ac:dyDescent="0.2">
      <c r="A42" s="39" t="s">
        <v>182</v>
      </c>
    </row>
    <row r="43" spans="1:5" s="2" customFormat="1" ht="15" x14ac:dyDescent="0.2">
      <c r="B43" s="43" t="s">
        <v>42</v>
      </c>
      <c r="C43" s="42" t="s">
        <v>71</v>
      </c>
      <c r="D43" s="144" t="s">
        <v>228</v>
      </c>
      <c r="E43" s="144" t="s">
        <v>225</v>
      </c>
    </row>
    <row r="44" spans="1:5" s="2" customFormat="1" ht="15" x14ac:dyDescent="0.2">
      <c r="B44" s="43" t="s">
        <v>49</v>
      </c>
      <c r="C44" s="63">
        <f>IF('Coal Parameters'!$C$15="No",D44,E44)</f>
        <v>2677.833333333333</v>
      </c>
      <c r="D44" s="148">
        <f>D52+D57</f>
        <v>2677.833333333333</v>
      </c>
      <c r="E44" s="148">
        <f>D44*(1+'Coal Parameters'!$C$16/100)</f>
        <v>2945.6166666666668</v>
      </c>
    </row>
    <row r="45" spans="1:5" s="2" customFormat="1" ht="15" x14ac:dyDescent="0.2">
      <c r="B45" s="43" t="s">
        <v>50</v>
      </c>
      <c r="C45" s="63">
        <f>IF('Coal Parameters'!$C$15="No",D45,E45)</f>
        <v>2.5385859999999996</v>
      </c>
      <c r="D45" s="148">
        <f>C44*Conversions!$B$8</f>
        <v>2.5385859999999996</v>
      </c>
      <c r="E45" s="148">
        <f>D45*(1+'Coal Parameters'!$C$16/100)</f>
        <v>2.7924445999999996</v>
      </c>
    </row>
    <row r="46" spans="1:5" s="2" customFormat="1" ht="15" x14ac:dyDescent="0.2">
      <c r="B46" s="43" t="s">
        <v>51</v>
      </c>
      <c r="C46" s="63">
        <f>IF('Coal Parameters'!$C$15="No",D46,E46)</f>
        <v>28.385033333333329</v>
      </c>
      <c r="D46" s="148">
        <f>C44/10^6*C$48</f>
        <v>28.385033333333329</v>
      </c>
      <c r="E46" s="148">
        <f>D46*(1+'Coal Parameters'!$C$16/100)</f>
        <v>31.223536666666664</v>
      </c>
    </row>
    <row r="47" spans="1:5" s="2" customFormat="1" ht="15" x14ac:dyDescent="0.2">
      <c r="C47" s="69"/>
    </row>
    <row r="48" spans="1:5" s="2" customFormat="1" ht="15" x14ac:dyDescent="0.2">
      <c r="B48" s="2" t="s">
        <v>44</v>
      </c>
      <c r="C48" s="57">
        <f>'Coal Parameters'!C$13</f>
        <v>10600</v>
      </c>
      <c r="D48" s="26" t="s">
        <v>45</v>
      </c>
    </row>
    <row r="49" spans="1:5" s="2" customFormat="1" ht="15" x14ac:dyDescent="0.2">
      <c r="B49" s="5" t="s">
        <v>131</v>
      </c>
      <c r="C49" s="17">
        <f>'Coal Parameters'!C$14</f>
        <v>24</v>
      </c>
      <c r="D49" s="26" t="s">
        <v>132</v>
      </c>
    </row>
    <row r="50" spans="1:5" s="80" customFormat="1" ht="15" x14ac:dyDescent="0.2">
      <c r="B50" s="19"/>
      <c r="C50" s="98"/>
      <c r="D50" s="107"/>
    </row>
    <row r="51" spans="1:5" s="2" customFormat="1" ht="15" x14ac:dyDescent="0.2">
      <c r="C51" s="69" t="s">
        <v>134</v>
      </c>
      <c r="D51" s="3" t="s">
        <v>133</v>
      </c>
      <c r="E51" s="3"/>
    </row>
    <row r="52" spans="1:5" s="2" customFormat="1" ht="15" x14ac:dyDescent="0.2">
      <c r="B52" s="2" t="s">
        <v>151</v>
      </c>
      <c r="C52" s="95">
        <f>'Coal Parameters'!C10</f>
        <v>1858</v>
      </c>
      <c r="D52" s="59">
        <f>C52/C$49</f>
        <v>77.416666666666671</v>
      </c>
      <c r="E52" s="59"/>
    </row>
    <row r="53" spans="1:5" s="2" customFormat="1" ht="15" x14ac:dyDescent="0.2">
      <c r="C53" s="69"/>
      <c r="D53" s="59"/>
      <c r="E53" s="59"/>
    </row>
    <row r="54" spans="1:5" s="2" customFormat="1" ht="15" x14ac:dyDescent="0.2">
      <c r="B54" s="164" t="s">
        <v>329</v>
      </c>
      <c r="C54" s="17">
        <f>'Coal Parameters'!C11</f>
        <v>7.9</v>
      </c>
      <c r="D54" s="59"/>
      <c r="E54" s="59"/>
    </row>
    <row r="55" spans="1:5" s="2" customFormat="1" ht="15" x14ac:dyDescent="0.2">
      <c r="B55" s="164" t="s">
        <v>328</v>
      </c>
      <c r="C55" s="17">
        <f>'Coal Parameters'!C12</f>
        <v>7900</v>
      </c>
      <c r="D55" s="59"/>
      <c r="E55" s="59"/>
    </row>
    <row r="56" spans="1:5" s="2" customFormat="1" ht="15" x14ac:dyDescent="0.2">
      <c r="B56" s="5"/>
      <c r="C56" s="96"/>
      <c r="D56" s="59"/>
      <c r="E56" s="59"/>
    </row>
    <row r="57" spans="1:5" s="2" customFormat="1" ht="15" x14ac:dyDescent="0.2">
      <c r="B57" s="5" t="s">
        <v>144</v>
      </c>
      <c r="C57" s="96">
        <f>C54*C55</f>
        <v>62410</v>
      </c>
      <c r="D57" s="59">
        <f>C57/C$49</f>
        <v>2600.4166666666665</v>
      </c>
      <c r="E57" s="59"/>
    </row>
    <row r="58" spans="1:5" s="2" customFormat="1" ht="15" x14ac:dyDescent="0.2">
      <c r="C58" s="69"/>
    </row>
    <row r="59" spans="1:5" s="39" customFormat="1" ht="15" x14ac:dyDescent="0.2">
      <c r="A59" s="39" t="s">
        <v>77</v>
      </c>
    </row>
    <row r="60" spans="1:5" s="2" customFormat="1" ht="15" x14ac:dyDescent="0.2">
      <c r="B60" s="43" t="s">
        <v>42</v>
      </c>
      <c r="C60" s="42" t="s">
        <v>71</v>
      </c>
      <c r="D60" s="144" t="s">
        <v>228</v>
      </c>
      <c r="E60" s="144" t="s">
        <v>225</v>
      </c>
    </row>
    <row r="61" spans="1:5" s="2" customFormat="1" ht="15" x14ac:dyDescent="0.2">
      <c r="B61" s="43" t="s">
        <v>49</v>
      </c>
      <c r="C61" s="63">
        <f>IF('Coal Parameters'!$C$15="No",D61,E61)</f>
        <v>95626.666666666657</v>
      </c>
      <c r="D61" s="145">
        <f>C63/C65*10^6</f>
        <v>95626.666666666657</v>
      </c>
      <c r="E61" s="145">
        <f>D61*(1-'Coal Parameters'!$C$17/100)*(1+'Coal Parameters'!$C$16/100)</f>
        <v>10518.933333333331</v>
      </c>
    </row>
    <row r="62" spans="1:5" s="2" customFormat="1" ht="15" x14ac:dyDescent="0.2">
      <c r="B62" s="43" t="s">
        <v>50</v>
      </c>
      <c r="C62" s="63">
        <f>IF('Coal Parameters'!$C$15="No",D62,E62)</f>
        <v>90.654079999999979</v>
      </c>
      <c r="D62" s="145">
        <f>C61*Conversions!$B$8</f>
        <v>90.654079999999979</v>
      </c>
      <c r="E62" s="145">
        <f>D62*(1-'Coal Parameters'!$C$17/100)*(1+'Coal Parameters'!$C$16/100)</f>
        <v>9.9719487999999963</v>
      </c>
    </row>
    <row r="63" spans="1:5" s="2" customFormat="1" ht="15" x14ac:dyDescent="0.2">
      <c r="B63" s="43" t="s">
        <v>51</v>
      </c>
      <c r="C63" s="63">
        <f>IF('Coal Parameters'!$C$15="No",D63,E63)</f>
        <v>1013.6426666666665</v>
      </c>
      <c r="D63" s="145">
        <f>C65*C68/10^3</f>
        <v>1013.6426666666665</v>
      </c>
      <c r="E63" s="145">
        <f>D63*(1-'Coal Parameters'!$C$17/100)*(1+'Coal Parameters'!$C$16/100)</f>
        <v>111.50069333333329</v>
      </c>
    </row>
    <row r="64" spans="1:5" s="2" customFormat="1" ht="15" x14ac:dyDescent="0.2"/>
    <row r="65" spans="2:4" s="2" customFormat="1" ht="15" x14ac:dyDescent="0.2">
      <c r="B65" s="2" t="s">
        <v>44</v>
      </c>
      <c r="C65" s="57">
        <f>'Coal Parameters'!C$13</f>
        <v>10600</v>
      </c>
      <c r="D65" s="26" t="s">
        <v>45</v>
      </c>
    </row>
    <row r="66" spans="2:4" s="2" customFormat="1" ht="15" x14ac:dyDescent="0.2">
      <c r="B66" s="46" t="s">
        <v>68</v>
      </c>
      <c r="C66" s="89">
        <f>Conversions!B$10</f>
        <v>26.08</v>
      </c>
      <c r="D66" s="48" t="s">
        <v>67</v>
      </c>
    </row>
    <row r="67" spans="2:4" s="2" customFormat="1" x14ac:dyDescent="0.2">
      <c r="B67" s="9" t="s">
        <v>126</v>
      </c>
      <c r="C67" s="110">
        <f>Conversions!B5</f>
        <v>3.6666666666666665</v>
      </c>
      <c r="D67" s="4" t="s">
        <v>116</v>
      </c>
    </row>
    <row r="68" spans="2:4" s="2" customFormat="1" ht="15" x14ac:dyDescent="0.2">
      <c r="B68" s="46"/>
      <c r="C68" s="59">
        <f>C66*C67</f>
        <v>95.626666666666651</v>
      </c>
      <c r="D68" s="48" t="s">
        <v>65</v>
      </c>
    </row>
    <row r="69" spans="2:4" s="2" customFormat="1" ht="15" x14ac:dyDescent="0.2">
      <c r="B69" s="4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4EB3-873D-6745-AD9A-8952478855F0}">
  <sheetPr codeName="Sheet21"/>
  <dimension ref="A1:K69"/>
  <sheetViews>
    <sheetView topLeftCell="A7" workbookViewId="0">
      <selection activeCell="C37" sqref="C37"/>
    </sheetView>
  </sheetViews>
  <sheetFormatPr baseColWidth="10" defaultColWidth="11.1640625" defaultRowHeight="16" x14ac:dyDescent="0.2"/>
  <cols>
    <col min="2" max="2" width="42.33203125" bestFit="1" customWidth="1"/>
    <col min="3" max="3" width="27.5" customWidth="1"/>
    <col min="4" max="5" width="19.6640625" customWidth="1"/>
    <col min="6" max="11" width="12.83203125" customWidth="1"/>
  </cols>
  <sheetData>
    <row r="1" spans="1:11" s="39" customFormat="1" ht="15" x14ac:dyDescent="0.2">
      <c r="A1" s="39" t="s">
        <v>127</v>
      </c>
    </row>
    <row r="2" spans="1:11" s="149" customFormat="1" ht="15" x14ac:dyDescent="0.2">
      <c r="F2" s="144" t="s">
        <v>228</v>
      </c>
      <c r="G2" s="150"/>
      <c r="H2" s="150"/>
      <c r="I2" s="144" t="s">
        <v>225</v>
      </c>
      <c r="J2" s="150"/>
      <c r="K2" s="150"/>
    </row>
    <row r="3" spans="1:11" s="2" customFormat="1" ht="15" x14ac:dyDescent="0.2">
      <c r="B3" s="43" t="s">
        <v>42</v>
      </c>
      <c r="C3" s="42" t="s">
        <v>48</v>
      </c>
      <c r="D3" s="42" t="s">
        <v>52</v>
      </c>
      <c r="E3" s="42" t="s">
        <v>53</v>
      </c>
      <c r="F3" s="144" t="s">
        <v>48</v>
      </c>
      <c r="G3" s="144" t="s">
        <v>52</v>
      </c>
      <c r="H3" s="144" t="s">
        <v>53</v>
      </c>
      <c r="I3" s="144" t="s">
        <v>48</v>
      </c>
      <c r="J3" s="144" t="s">
        <v>52</v>
      </c>
      <c r="K3" s="144" t="s">
        <v>53</v>
      </c>
    </row>
    <row r="4" spans="1:11" s="2" customFormat="1" ht="15" x14ac:dyDescent="0.2">
      <c r="B4" s="43" t="s">
        <v>49</v>
      </c>
      <c r="C4" s="63">
        <f>IF('Coal Parameters'!$D$15="No",F4,I4)</f>
        <v>15.47635014208851</v>
      </c>
      <c r="D4" s="63">
        <f>IF('Coal Parameters'!$D$15="No",G4,J4)</f>
        <v>557.14860511518634</v>
      </c>
      <c r="E4" s="63">
        <f>IF('Coal Parameters'!$D$15="No",H4,K4)</f>
        <v>1346.4424623617003</v>
      </c>
      <c r="F4" s="148">
        <f>D14</f>
        <v>15.47635014208851</v>
      </c>
      <c r="G4" s="148">
        <f>F4*Conversions!$B$7</f>
        <v>557.14860511518634</v>
      </c>
      <c r="H4" s="148">
        <f>F4*Conversions!$B$6</f>
        <v>1346.4424623617003</v>
      </c>
      <c r="I4" s="148">
        <f>F4*(1+'Coal Parameters'!$D$16/100)</f>
        <v>17.023985156297361</v>
      </c>
      <c r="J4" s="148">
        <f>G4*(1+'Coal Parameters'!$D$16/100)</f>
        <v>612.86346562670508</v>
      </c>
      <c r="K4" s="148">
        <f>H4*(1+'Coal Parameters'!$D$16/100)</f>
        <v>1481.0867085978705</v>
      </c>
    </row>
    <row r="5" spans="1:11" s="2" customFormat="1" ht="15" x14ac:dyDescent="0.2">
      <c r="B5" s="43" t="s">
        <v>50</v>
      </c>
      <c r="C5" s="63">
        <f>IF('Coal Parameters'!$D$15="No",F5,I5)</f>
        <v>1.4671579934699907E-2</v>
      </c>
      <c r="D5" s="63">
        <f>IF('Coal Parameters'!$D$15="No",G5,J5)</f>
        <v>0.52817687764919663</v>
      </c>
      <c r="E5" s="63">
        <f>IF('Coal Parameters'!$D$15="No",H5,K5)</f>
        <v>1.2764274543188918</v>
      </c>
      <c r="F5" s="148">
        <f>F4*Conversions!$B$8</f>
        <v>1.4671579934699907E-2</v>
      </c>
      <c r="G5" s="148">
        <f>F5*Conversions!$B$7</f>
        <v>0.52817687764919663</v>
      </c>
      <c r="H5" s="148">
        <f>F5*Conversions!$B$6</f>
        <v>1.2764274543188918</v>
      </c>
      <c r="I5" s="148">
        <f>F5*(1+'Coal Parameters'!$D$16/100)</f>
        <v>1.6138737928169899E-2</v>
      </c>
      <c r="J5" s="148">
        <f>G5*(1+'Coal Parameters'!$D$16/100)</f>
        <v>0.58099456541411632</v>
      </c>
      <c r="K5" s="148">
        <f>H5*(1+'Coal Parameters'!$D$16/100)</f>
        <v>1.4040701997507812</v>
      </c>
    </row>
    <row r="6" spans="1:11" s="2" customFormat="1" ht="15" x14ac:dyDescent="0.2">
      <c r="B6" s="43" t="s">
        <v>51</v>
      </c>
      <c r="C6" s="63">
        <f>IF('Coal Parameters'!$D$15="No",F6,I6)</f>
        <v>0.16404931150613819</v>
      </c>
      <c r="D6" s="63">
        <f>IF('Coal Parameters'!$D$15="No",G6,J6)</f>
        <v>5.9057752142209745</v>
      </c>
      <c r="E6" s="63">
        <f>IF('Coal Parameters'!$D$15="No",H6,K6)</f>
        <v>14.272290101034022</v>
      </c>
      <c r="F6" s="148">
        <f>F4/10^6*C8</f>
        <v>0.16404931150613819</v>
      </c>
      <c r="G6" s="148">
        <f>F6*Conversions!$B$7</f>
        <v>5.9057752142209745</v>
      </c>
      <c r="H6" s="148">
        <f>F6*Conversions!$B$6</f>
        <v>14.272290101034022</v>
      </c>
      <c r="I6" s="148">
        <f>F6*(1+'Coal Parameters'!$D$16/100)</f>
        <v>0.18045424265675203</v>
      </c>
      <c r="J6" s="148">
        <f>G6*(1+'Coal Parameters'!$D$16/100)</f>
        <v>6.4963527356430726</v>
      </c>
      <c r="K6" s="148">
        <f>H6*(1+'Coal Parameters'!$D$16/100)</f>
        <v>15.699519111137425</v>
      </c>
    </row>
    <row r="7" spans="1:11" s="2" customFormat="1" ht="15" x14ac:dyDescent="0.2">
      <c r="C7" s="69"/>
    </row>
    <row r="8" spans="1:11" s="2" customFormat="1" ht="15" x14ac:dyDescent="0.2">
      <c r="B8" s="2" t="s">
        <v>44</v>
      </c>
      <c r="C8" s="57">
        <f>'Coal Parameters'!D$13</f>
        <v>10600</v>
      </c>
      <c r="D8" s="26" t="s">
        <v>45</v>
      </c>
    </row>
    <row r="9" spans="1:11" s="2" customFormat="1" ht="15" x14ac:dyDescent="0.2">
      <c r="B9" s="5" t="s">
        <v>131</v>
      </c>
      <c r="C9" s="17">
        <f>'Coal Parameters'!D$14</f>
        <v>19.290442412517844</v>
      </c>
      <c r="D9" s="26" t="s">
        <v>132</v>
      </c>
    </row>
    <row r="10" spans="1:11" s="2" customFormat="1" x14ac:dyDescent="0.2">
      <c r="B10" s="5" t="s">
        <v>100</v>
      </c>
      <c r="C10" s="103">
        <f>Conversions!B$2</f>
        <v>51505.644797356501</v>
      </c>
      <c r="D10" s="111" t="s">
        <v>101</v>
      </c>
    </row>
    <row r="11" spans="1:11" s="2" customFormat="1" x14ac:dyDescent="0.2">
      <c r="B11" s="5" t="s">
        <v>111</v>
      </c>
      <c r="C11" s="103">
        <f>Conversions!B$3</f>
        <v>35.31</v>
      </c>
      <c r="D11" s="111" t="s">
        <v>112</v>
      </c>
    </row>
    <row r="12" spans="1:11" s="2" customFormat="1" ht="15" x14ac:dyDescent="0.2">
      <c r="B12" s="5"/>
      <c r="C12" s="115"/>
      <c r="D12" s="111"/>
    </row>
    <row r="13" spans="1:11" s="2" customFormat="1" ht="15" x14ac:dyDescent="0.2">
      <c r="C13" s="46" t="s">
        <v>183</v>
      </c>
      <c r="D13" s="3" t="s">
        <v>133</v>
      </c>
      <c r="E13" s="3"/>
    </row>
    <row r="14" spans="1:11" s="2" customFormat="1" ht="15" x14ac:dyDescent="0.2">
      <c r="B14" s="2" t="s">
        <v>130</v>
      </c>
      <c r="C14" s="126">
        <f>'Coal Parameters'!D4</f>
        <v>0.29854564117192073</v>
      </c>
      <c r="D14" s="125">
        <f>C14*10^3/C9</f>
        <v>15.47635014208851</v>
      </c>
      <c r="E14" s="3"/>
    </row>
    <row r="15" spans="1:11" s="2" customFormat="1" ht="15" x14ac:dyDescent="0.2">
      <c r="C15" s="69"/>
    </row>
    <row r="16" spans="1:11" s="39" customFormat="1" ht="15" x14ac:dyDescent="0.2">
      <c r="A16" s="39" t="s">
        <v>128</v>
      </c>
    </row>
    <row r="17" spans="1:5" s="2" customFormat="1" ht="15" x14ac:dyDescent="0.2">
      <c r="B17" s="43" t="s">
        <v>42</v>
      </c>
      <c r="C17" s="42" t="s">
        <v>71</v>
      </c>
      <c r="D17" s="145" t="s">
        <v>228</v>
      </c>
      <c r="E17" s="145" t="s">
        <v>225</v>
      </c>
    </row>
    <row r="18" spans="1:5" s="2" customFormat="1" ht="15" x14ac:dyDescent="0.2">
      <c r="B18" s="43" t="s">
        <v>49</v>
      </c>
      <c r="C18" s="63">
        <f>IF('Coal Parameters'!$D$15="No",D18,E18)</f>
        <v>123.06612514285713</v>
      </c>
      <c r="D18" s="148">
        <f>D26</f>
        <v>123.06612514285713</v>
      </c>
      <c r="E18" s="148">
        <f>D18*(1+'Coal Parameters'!$D$16/100)</f>
        <v>135.37273765714286</v>
      </c>
    </row>
    <row r="19" spans="1:5" s="2" customFormat="1" ht="15" x14ac:dyDescent="0.2">
      <c r="B19" s="43" t="s">
        <v>50</v>
      </c>
      <c r="C19" s="63">
        <f>IF('Coal Parameters'!$D$15="No",D19,E19)</f>
        <v>0.11666668663542855</v>
      </c>
      <c r="D19" s="148">
        <f>D18*Conversions!$B$8</f>
        <v>0.11666668663542855</v>
      </c>
      <c r="E19" s="148">
        <f>D19*(1+'Coal Parameters'!$D$16/100)</f>
        <v>0.12833335529897141</v>
      </c>
    </row>
    <row r="20" spans="1:5" s="2" customFormat="1" ht="15" x14ac:dyDescent="0.2">
      <c r="B20" s="43" t="s">
        <v>51</v>
      </c>
      <c r="C20" s="63">
        <f>IF('Coal Parameters'!$D$15="No",D20,E20)</f>
        <v>1.3045009265142857</v>
      </c>
      <c r="D20" s="148">
        <f>D18/10^6*C$22</f>
        <v>1.3045009265142857</v>
      </c>
      <c r="E20" s="148">
        <f>D20*(1+'Coal Parameters'!$D$16/100)</f>
        <v>1.4349510191657144</v>
      </c>
    </row>
    <row r="21" spans="1:5" s="2" customFormat="1" ht="15" x14ac:dyDescent="0.2">
      <c r="C21" s="69"/>
    </row>
    <row r="22" spans="1:5" s="2" customFormat="1" ht="15" x14ac:dyDescent="0.2">
      <c r="B22" s="2" t="s">
        <v>44</v>
      </c>
      <c r="C22" s="57">
        <f>'Coal Parameters'!D$13</f>
        <v>10600</v>
      </c>
      <c r="D22" s="26" t="s">
        <v>45</v>
      </c>
    </row>
    <row r="23" spans="1:5" s="2" customFormat="1" ht="15" x14ac:dyDescent="0.2">
      <c r="B23" s="5" t="s">
        <v>131</v>
      </c>
      <c r="C23" s="17">
        <f>'Coal Parameters'!D$14</f>
        <v>19.290442412517844</v>
      </c>
      <c r="D23" s="26" t="s">
        <v>132</v>
      </c>
    </row>
    <row r="24" spans="1:5" s="80" customFormat="1" ht="15" x14ac:dyDescent="0.2">
      <c r="B24" s="19"/>
      <c r="C24" s="98"/>
      <c r="D24" s="107"/>
    </row>
    <row r="25" spans="1:5" s="2" customFormat="1" ht="15" x14ac:dyDescent="0.2">
      <c r="C25" s="69" t="s">
        <v>134</v>
      </c>
      <c r="D25" s="3" t="s">
        <v>133</v>
      </c>
      <c r="E25" s="3"/>
    </row>
    <row r="26" spans="1:5" s="2" customFormat="1" ht="15" x14ac:dyDescent="0.2">
      <c r="B26" s="2" t="s">
        <v>152</v>
      </c>
      <c r="C26" s="95">
        <f>'Coal Parameters'!D5</f>
        <v>2374</v>
      </c>
      <c r="D26" s="59">
        <f>C26/C$23</f>
        <v>123.06612514285713</v>
      </c>
      <c r="E26" s="59"/>
    </row>
    <row r="27" spans="1:5" s="2" customFormat="1" ht="15" x14ac:dyDescent="0.2">
      <c r="C27" s="69"/>
    </row>
    <row r="28" spans="1:5" s="2" customFormat="1" ht="15" x14ac:dyDescent="0.2">
      <c r="C28" s="69"/>
    </row>
    <row r="29" spans="1:5" s="39" customFormat="1" ht="15" x14ac:dyDescent="0.2">
      <c r="A29" s="39" t="s">
        <v>181</v>
      </c>
    </row>
    <row r="30" spans="1:5" s="2" customFormat="1" ht="15" x14ac:dyDescent="0.2">
      <c r="B30" s="43" t="s">
        <v>42</v>
      </c>
      <c r="C30" s="42" t="s">
        <v>71</v>
      </c>
      <c r="D30" s="144" t="s">
        <v>228</v>
      </c>
      <c r="E30" s="144" t="s">
        <v>225</v>
      </c>
    </row>
    <row r="31" spans="1:5" s="2" customFormat="1" ht="15" x14ac:dyDescent="0.2">
      <c r="B31" s="43" t="s">
        <v>49</v>
      </c>
      <c r="C31" s="63">
        <f>IF('Coal Parameters'!$D$15="No",D31,E31)</f>
        <v>1600.1261422583998</v>
      </c>
      <c r="D31" s="148">
        <f>D40</f>
        <v>1600.1261422583998</v>
      </c>
      <c r="E31" s="148">
        <f>D31*(1+'Coal Parameters'!$D$16/100)</f>
        <v>1760.1387564842398</v>
      </c>
    </row>
    <row r="32" spans="1:5" s="2" customFormat="1" ht="15" x14ac:dyDescent="0.2">
      <c r="B32" s="43" t="s">
        <v>50</v>
      </c>
      <c r="C32" s="63">
        <f>IF('Coal Parameters'!$D$15="No",D32,E32)</f>
        <v>1.516919582860963</v>
      </c>
      <c r="D32" s="148">
        <f>D31*Conversions!$B$8</f>
        <v>1.516919582860963</v>
      </c>
      <c r="E32" s="148">
        <f>D32*(1+'Coal Parameters'!$D$16/100)</f>
        <v>1.6686115411470595</v>
      </c>
    </row>
    <row r="33" spans="1:5" s="2" customFormat="1" ht="15" x14ac:dyDescent="0.2">
      <c r="B33" s="43" t="s">
        <v>51</v>
      </c>
      <c r="C33" s="63">
        <f>IF('Coal Parameters'!$D$15="No",D33,E33)</f>
        <v>16.961337107939038</v>
      </c>
      <c r="D33" s="148">
        <f>D31/10^6*C$22</f>
        <v>16.961337107939038</v>
      </c>
      <c r="E33" s="148">
        <f>D33*(1+'Coal Parameters'!$D$16/100)</f>
        <v>18.657470818732943</v>
      </c>
    </row>
    <row r="34" spans="1:5" s="2" customFormat="1" ht="15" x14ac:dyDescent="0.2">
      <c r="C34" s="69"/>
    </row>
    <row r="35" spans="1:5" s="2" customFormat="1" ht="15" x14ac:dyDescent="0.2">
      <c r="B35" s="2" t="s">
        <v>44</v>
      </c>
      <c r="C35" s="57">
        <f>'Coal Parameters'!D$13</f>
        <v>10600</v>
      </c>
      <c r="D35" s="26" t="s">
        <v>45</v>
      </c>
    </row>
    <row r="36" spans="1:5" s="2" customFormat="1" ht="15" x14ac:dyDescent="0.2">
      <c r="B36" s="5" t="s">
        <v>131</v>
      </c>
      <c r="C36" s="17">
        <f>'Coal Parameters'!D$14</f>
        <v>19.290442412517844</v>
      </c>
      <c r="D36" s="26" t="s">
        <v>132</v>
      </c>
    </row>
    <row r="37" spans="1:5" s="2" customFormat="1" ht="15" x14ac:dyDescent="0.2">
      <c r="B37" s="164" t="s">
        <v>323</v>
      </c>
      <c r="C37" s="17">
        <f>'Coal Parameters'!D7</f>
        <v>13.7</v>
      </c>
      <c r="D37" s="170" t="s">
        <v>322</v>
      </c>
    </row>
    <row r="38" spans="1:5" s="2" customFormat="1" ht="15" x14ac:dyDescent="0.2">
      <c r="B38" s="164" t="s">
        <v>324</v>
      </c>
      <c r="C38" s="17">
        <f>'Coal Parameters'!D8</f>
        <v>2253.076</v>
      </c>
      <c r="D38" s="170" t="s">
        <v>321</v>
      </c>
    </row>
    <row r="39" spans="1:5" s="2" customFormat="1" ht="15" x14ac:dyDescent="0.2">
      <c r="B39" s="5"/>
      <c r="C39" s="96"/>
      <c r="D39" s="3" t="s">
        <v>133</v>
      </c>
      <c r="E39" s="3"/>
    </row>
    <row r="40" spans="1:5" s="2" customFormat="1" ht="15" x14ac:dyDescent="0.2">
      <c r="B40" s="5" t="s">
        <v>144</v>
      </c>
      <c r="C40" s="96">
        <f>C37*C38</f>
        <v>30867.141199999998</v>
      </c>
      <c r="D40" s="59">
        <f>C40/C$36</f>
        <v>1600.1261422583998</v>
      </c>
      <c r="E40" s="59"/>
    </row>
    <row r="41" spans="1:5" s="2" customFormat="1" ht="15" x14ac:dyDescent="0.2">
      <c r="C41" s="69"/>
    </row>
    <row r="42" spans="1:5" s="39" customFormat="1" ht="15" x14ac:dyDescent="0.2">
      <c r="A42" s="39" t="s">
        <v>182</v>
      </c>
    </row>
    <row r="43" spans="1:5" s="2" customFormat="1" ht="15" x14ac:dyDescent="0.2">
      <c r="B43" s="43" t="s">
        <v>42</v>
      </c>
      <c r="C43" s="42" t="s">
        <v>71</v>
      </c>
      <c r="D43" s="144" t="s">
        <v>228</v>
      </c>
      <c r="E43" s="144" t="s">
        <v>225</v>
      </c>
    </row>
    <row r="44" spans="1:5" s="2" customFormat="1" ht="15" x14ac:dyDescent="0.2">
      <c r="B44" s="43" t="s">
        <v>49</v>
      </c>
      <c r="C44" s="63">
        <f>IF('Coal Parameters'!$D$15="No",D44,E44)</f>
        <v>3331.5980331428568</v>
      </c>
      <c r="D44" s="148">
        <f>D52+D57</f>
        <v>3331.5980331428568</v>
      </c>
      <c r="E44" s="148">
        <f>D44*(1+'Coal Parameters'!$D$16/100)</f>
        <v>3664.7578364571427</v>
      </c>
    </row>
    <row r="45" spans="1:5" s="2" customFormat="1" ht="15" x14ac:dyDescent="0.2">
      <c r="B45" s="43" t="s">
        <v>50</v>
      </c>
      <c r="C45" s="63">
        <f>IF('Coal Parameters'!$D$15="No",D45,E45)</f>
        <v>3.1583549354194282</v>
      </c>
      <c r="D45" s="148">
        <f>C44*Conversions!$B$8</f>
        <v>3.1583549354194282</v>
      </c>
      <c r="E45" s="148">
        <f>D45*(1+'Coal Parameters'!$D$16/100)</f>
        <v>3.4741904289613714</v>
      </c>
    </row>
    <row r="46" spans="1:5" s="2" customFormat="1" ht="15" x14ac:dyDescent="0.2">
      <c r="B46" s="43" t="s">
        <v>51</v>
      </c>
      <c r="C46" s="63">
        <f>IF('Coal Parameters'!$D$15="No",D46,E46)</f>
        <v>35.314939151314285</v>
      </c>
      <c r="D46" s="148">
        <f>C44/10^6*C$48</f>
        <v>35.314939151314285</v>
      </c>
      <c r="E46" s="148">
        <f>D46*(1+'Coal Parameters'!$D$16/100)</f>
        <v>38.846433066445719</v>
      </c>
    </row>
    <row r="47" spans="1:5" s="2" customFormat="1" ht="15" x14ac:dyDescent="0.2">
      <c r="C47" s="69"/>
    </row>
    <row r="48" spans="1:5" s="2" customFormat="1" ht="15" x14ac:dyDescent="0.2">
      <c r="B48" s="2" t="s">
        <v>44</v>
      </c>
      <c r="C48" s="57">
        <f>'Coal Parameters'!D$13</f>
        <v>10600</v>
      </c>
      <c r="D48" s="26" t="s">
        <v>45</v>
      </c>
    </row>
    <row r="49" spans="1:5" s="2" customFormat="1" ht="15" x14ac:dyDescent="0.2">
      <c r="B49" s="5" t="s">
        <v>131</v>
      </c>
      <c r="C49" s="17">
        <f>'Coal Parameters'!D$14</f>
        <v>19.290442412517844</v>
      </c>
      <c r="D49" s="26" t="s">
        <v>132</v>
      </c>
    </row>
    <row r="50" spans="1:5" s="80" customFormat="1" ht="15" x14ac:dyDescent="0.2">
      <c r="B50" s="19"/>
      <c r="C50" s="98"/>
      <c r="D50" s="107"/>
    </row>
    <row r="51" spans="1:5" s="2" customFormat="1" ht="15" x14ac:dyDescent="0.2">
      <c r="C51" s="69" t="s">
        <v>134</v>
      </c>
      <c r="D51" s="3" t="s">
        <v>133</v>
      </c>
      <c r="E51" s="3"/>
    </row>
    <row r="52" spans="1:5" s="2" customFormat="1" ht="15" x14ac:dyDescent="0.2">
      <c r="B52" s="2" t="s">
        <v>151</v>
      </c>
      <c r="C52" s="95">
        <f>'Coal Parameters'!D10</f>
        <v>1858</v>
      </c>
      <c r="D52" s="59">
        <f>C52/C$49</f>
        <v>96.317127428571425</v>
      </c>
      <c r="E52" s="59"/>
    </row>
    <row r="53" spans="1:5" s="2" customFormat="1" ht="15" x14ac:dyDescent="0.2">
      <c r="C53" s="69"/>
      <c r="D53" s="59"/>
      <c r="E53" s="59"/>
    </row>
    <row r="54" spans="1:5" s="2" customFormat="1" ht="15" x14ac:dyDescent="0.2">
      <c r="B54" s="164" t="s">
        <v>329</v>
      </c>
      <c r="C54" s="17">
        <f>'Coal Parameters'!D11</f>
        <v>7.9</v>
      </c>
      <c r="D54" s="59"/>
      <c r="E54" s="59"/>
    </row>
    <row r="55" spans="1:5" s="2" customFormat="1" ht="15" x14ac:dyDescent="0.2">
      <c r="B55" s="164" t="s">
        <v>328</v>
      </c>
      <c r="C55" s="17">
        <f>'Coal Parameters'!D12</f>
        <v>7900</v>
      </c>
      <c r="D55" s="59"/>
      <c r="E55" s="59"/>
    </row>
    <row r="56" spans="1:5" s="2" customFormat="1" ht="15" x14ac:dyDescent="0.2">
      <c r="B56" s="5"/>
      <c r="C56" s="96"/>
      <c r="D56" s="59"/>
      <c r="E56" s="59"/>
    </row>
    <row r="57" spans="1:5" s="2" customFormat="1" ht="15" x14ac:dyDescent="0.2">
      <c r="B57" s="5" t="s">
        <v>144</v>
      </c>
      <c r="C57" s="96">
        <f>C54*C55</f>
        <v>62410</v>
      </c>
      <c r="D57" s="59">
        <f>C57/C$49</f>
        <v>3235.2809057142854</v>
      </c>
      <c r="E57" s="59"/>
    </row>
    <row r="58" spans="1:5" s="2" customFormat="1" ht="15" x14ac:dyDescent="0.2">
      <c r="C58" s="69"/>
    </row>
    <row r="59" spans="1:5" s="39" customFormat="1" ht="15" x14ac:dyDescent="0.2">
      <c r="A59" s="39" t="s">
        <v>77</v>
      </c>
    </row>
    <row r="60" spans="1:5" s="2" customFormat="1" ht="15" x14ac:dyDescent="0.2">
      <c r="B60" s="43" t="s">
        <v>42</v>
      </c>
      <c r="C60" s="42" t="s">
        <v>71</v>
      </c>
      <c r="D60" s="144" t="s">
        <v>228</v>
      </c>
      <c r="E60" s="144" t="s">
        <v>225</v>
      </c>
    </row>
    <row r="61" spans="1:5" s="2" customFormat="1" ht="15" x14ac:dyDescent="0.2">
      <c r="B61" s="43" t="s">
        <v>49</v>
      </c>
      <c r="C61" s="63">
        <f>IF('Coal Parameters'!$D$15="No",D61,E61)</f>
        <v>95626.666666666657</v>
      </c>
      <c r="D61" s="145">
        <f>C63/C65*10^6</f>
        <v>95626.666666666657</v>
      </c>
      <c r="E61" s="145">
        <f>D61*(1-'Coal Parameters'!$D$17/100)*(1+'Coal Parameters'!$D$16/100)</f>
        <v>10518.933333333331</v>
      </c>
    </row>
    <row r="62" spans="1:5" s="2" customFormat="1" ht="15" x14ac:dyDescent="0.2">
      <c r="B62" s="43" t="s">
        <v>50</v>
      </c>
      <c r="C62" s="63">
        <f>IF('Coal Parameters'!$D$15="No",D62,E62)</f>
        <v>90.654079999999979</v>
      </c>
      <c r="D62" s="145">
        <f>C61*Conversions!$B$8</f>
        <v>90.654079999999979</v>
      </c>
      <c r="E62" s="145">
        <f>D62*(1-'Coal Parameters'!$D$17/100)*(1+'Coal Parameters'!$D$16/100)</f>
        <v>9.9719487999999963</v>
      </c>
    </row>
    <row r="63" spans="1:5" s="2" customFormat="1" ht="15" x14ac:dyDescent="0.2">
      <c r="B63" s="43" t="s">
        <v>51</v>
      </c>
      <c r="C63" s="63">
        <f>IF('Coal Parameters'!$D$15="No",D63,E63)</f>
        <v>1013.6426666666665</v>
      </c>
      <c r="D63" s="145">
        <f>C65*C68/10^3</f>
        <v>1013.6426666666665</v>
      </c>
      <c r="E63" s="145">
        <f>D63*(1-'Coal Parameters'!$D$17/100)*(1+'Coal Parameters'!$D$16/100)</f>
        <v>111.50069333333329</v>
      </c>
    </row>
    <row r="64" spans="1:5" s="2" customFormat="1" ht="15" x14ac:dyDescent="0.2"/>
    <row r="65" spans="2:4" s="2" customFormat="1" ht="15" x14ac:dyDescent="0.2">
      <c r="B65" s="2" t="s">
        <v>44</v>
      </c>
      <c r="C65" s="57">
        <f>'Coal Parameters'!D$13</f>
        <v>10600</v>
      </c>
      <c r="D65" s="26" t="s">
        <v>45</v>
      </c>
    </row>
    <row r="66" spans="2:4" s="2" customFormat="1" ht="15" x14ac:dyDescent="0.2">
      <c r="B66" s="46" t="s">
        <v>68</v>
      </c>
      <c r="C66" s="89">
        <f>Conversions!B$10</f>
        <v>26.08</v>
      </c>
      <c r="D66" s="48" t="s">
        <v>67</v>
      </c>
    </row>
    <row r="67" spans="2:4" s="2" customFormat="1" x14ac:dyDescent="0.2">
      <c r="B67" s="9" t="s">
        <v>126</v>
      </c>
      <c r="C67" s="110">
        <f>Conversions!B5</f>
        <v>3.6666666666666665</v>
      </c>
      <c r="D67" s="4" t="s">
        <v>116</v>
      </c>
    </row>
    <row r="68" spans="2:4" s="2" customFormat="1" ht="15" x14ac:dyDescent="0.2">
      <c r="B68" s="46"/>
      <c r="C68" s="59">
        <f>C66*C67</f>
        <v>95.626666666666651</v>
      </c>
      <c r="D68" s="48" t="s">
        <v>65</v>
      </c>
    </row>
    <row r="69" spans="2:4" s="2" customFormat="1" ht="15" x14ac:dyDescent="0.2">
      <c r="B69" s="4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CDD1-BD09-8846-9882-71FA0C201AB7}">
  <sheetPr codeName="Sheet3">
    <tabColor theme="7" tint="0.79998168889431442"/>
  </sheetPr>
  <dimension ref="A1:O65"/>
  <sheetViews>
    <sheetView workbookViewId="0">
      <selection activeCell="C25" sqref="C25"/>
    </sheetView>
  </sheetViews>
  <sheetFormatPr baseColWidth="10" defaultColWidth="19.83203125" defaultRowHeight="16" x14ac:dyDescent="0.2"/>
  <cols>
    <col min="1" max="1" width="11.6640625" style="15" customWidth="1"/>
    <col min="2" max="2" width="14.6640625" style="11" bestFit="1" customWidth="1"/>
    <col min="3" max="5" width="11.1640625" style="11" customWidth="1"/>
    <col min="6" max="6" width="10.6640625" style="13" customWidth="1"/>
    <col min="7" max="7" width="5.1640625" style="13" customWidth="1"/>
    <col min="8" max="8" width="14.83203125" style="11" customWidth="1"/>
    <col min="9" max="11" width="11.1640625" style="11" customWidth="1"/>
    <col min="12" max="12" width="7" style="13" bestFit="1" customWidth="1"/>
    <col min="13" max="13" width="3.5" style="11" customWidth="1"/>
    <col min="14" max="14" width="19.83203125" style="11"/>
    <col min="15" max="15" width="12.33203125" style="11" customWidth="1"/>
    <col min="16" max="16384" width="19.83203125" style="11"/>
  </cols>
  <sheetData>
    <row r="1" spans="1:15" x14ac:dyDescent="0.2">
      <c r="C1" s="11" t="s">
        <v>60</v>
      </c>
      <c r="I1" s="11" t="s">
        <v>61</v>
      </c>
      <c r="O1" s="11" t="s">
        <v>231</v>
      </c>
    </row>
    <row r="2" spans="1:15" ht="17" x14ac:dyDescent="0.2">
      <c r="B2" s="10" t="s">
        <v>54</v>
      </c>
    </row>
    <row r="3" spans="1:15" s="15" customFormat="1" ht="34" x14ac:dyDescent="0.2">
      <c r="C3" s="38" t="s">
        <v>55</v>
      </c>
      <c r="D3" s="38" t="s">
        <v>56</v>
      </c>
      <c r="E3" s="38" t="s">
        <v>57</v>
      </c>
      <c r="F3" s="14" t="s">
        <v>62</v>
      </c>
      <c r="G3" s="14"/>
      <c r="I3" s="38" t="s">
        <v>55</v>
      </c>
      <c r="J3" s="38" t="s">
        <v>56</v>
      </c>
      <c r="K3" s="38" t="s">
        <v>57</v>
      </c>
      <c r="L3" s="14" t="s">
        <v>62</v>
      </c>
      <c r="O3" s="152" t="s">
        <v>55</v>
      </c>
    </row>
    <row r="4" spans="1:15" ht="17" x14ac:dyDescent="0.2">
      <c r="A4" s="276" t="str">
        <f>'NG Parameters'!B1&amp;" "&amp;'NG Parameters'!B2</f>
        <v>NATURAL GAS Case 1 1</v>
      </c>
      <c r="B4" s="10" t="s">
        <v>58</v>
      </c>
      <c r="C4" s="28">
        <f>'NG C1'!D$6</f>
        <v>85.373795575705998</v>
      </c>
      <c r="D4" s="28">
        <f>'NG C1'!C$65</f>
        <v>38.776662843464365</v>
      </c>
      <c r="E4" s="29"/>
      <c r="F4" s="30">
        <f>SUM(C4:E4)</f>
        <v>124.15045841917036</v>
      </c>
      <c r="G4" s="30"/>
      <c r="H4" s="10" t="s">
        <v>58</v>
      </c>
      <c r="I4" s="28">
        <f>'NG C1'!E$6</f>
        <v>206.32000597462283</v>
      </c>
      <c r="J4" s="28">
        <f>'NG C1'!C$65</f>
        <v>38.776662843464365</v>
      </c>
      <c r="K4" s="29"/>
      <c r="L4" s="30">
        <f>SUM(I4:K4)</f>
        <v>245.09666881808721</v>
      </c>
      <c r="N4" s="10" t="s">
        <v>58</v>
      </c>
      <c r="O4" s="151">
        <f>C4/Conversions!B$7</f>
        <v>2.3714943215473889</v>
      </c>
    </row>
    <row r="5" spans="1:15" ht="34" x14ac:dyDescent="0.2">
      <c r="A5" s="276"/>
      <c r="B5" s="10" t="s">
        <v>164</v>
      </c>
      <c r="C5" s="28">
        <f>IF('NG Parameters'!$B$9="Yes",'NG C1'!D$116,0)</f>
        <v>16.404760776067498</v>
      </c>
      <c r="D5" s="28">
        <f>IF('NG Parameters'!$B$9="Yes",'NG C1'!C$201,)</f>
        <v>10.150277901621676</v>
      </c>
      <c r="E5" s="29"/>
      <c r="F5" s="30">
        <f t="shared" ref="F5:F7" si="0">SUM(C5:E5)</f>
        <v>26.555038677689176</v>
      </c>
      <c r="G5" s="30"/>
      <c r="H5" s="10" t="s">
        <v>164</v>
      </c>
      <c r="I5" s="28">
        <f>IF('NG Parameters'!$B$9="Yes",'NG C1'!E$116,0)</f>
        <v>39.644838542163122</v>
      </c>
      <c r="J5" s="28">
        <f>IF('NG Parameters'!$B$9="Yes",'NG C1'!C$201,0)</f>
        <v>10.150277901621676</v>
      </c>
      <c r="K5" s="29"/>
      <c r="L5" s="30">
        <f t="shared" ref="L5:L7" si="1">SUM(I5:K5)</f>
        <v>49.795116443784799</v>
      </c>
      <c r="N5" s="10" t="s">
        <v>164</v>
      </c>
      <c r="O5" s="151">
        <f>C5/Conversions!B$7</f>
        <v>0.45568779933520825</v>
      </c>
    </row>
    <row r="6" spans="1:15" ht="34" x14ac:dyDescent="0.2">
      <c r="A6" s="276"/>
      <c r="B6" s="10" t="s">
        <v>161</v>
      </c>
      <c r="C6" s="28">
        <f>IF('NG Parameters'!$B$20="Yes",'NG C1'!D$155,0)</f>
        <v>0</v>
      </c>
      <c r="D6" s="28">
        <f>IF('NG Parameters'!$B$20="Yes",'NG C1'!C$227,0)</f>
        <v>0</v>
      </c>
      <c r="E6" s="29"/>
      <c r="F6" s="30">
        <f t="shared" si="0"/>
        <v>0</v>
      </c>
      <c r="G6" s="30"/>
      <c r="H6" s="10" t="s">
        <v>161</v>
      </c>
      <c r="I6" s="28">
        <f>IF('NG Parameters'!$B$20="Yes",'NG C1'!E$155,0)</f>
        <v>0</v>
      </c>
      <c r="J6" s="28">
        <f>IF('NG Parameters'!$B$20="Yes",'NG C1'!C$227,0)</f>
        <v>0</v>
      </c>
      <c r="K6" s="29"/>
      <c r="L6" s="30">
        <f t="shared" si="1"/>
        <v>0</v>
      </c>
      <c r="N6" s="10" t="s">
        <v>161</v>
      </c>
      <c r="O6" s="151">
        <f>C6/Conversions!B$7</f>
        <v>0</v>
      </c>
    </row>
    <row r="7" spans="1:15" ht="17" x14ac:dyDescent="0.2">
      <c r="A7" s="276"/>
      <c r="B7" s="10" t="s">
        <v>59</v>
      </c>
      <c r="C7" s="29"/>
      <c r="D7" s="29"/>
      <c r="E7" s="28">
        <f>'NG C1'!C$256</f>
        <v>386.24299999999999</v>
      </c>
      <c r="F7" s="30">
        <f t="shared" si="0"/>
        <v>386.24299999999999</v>
      </c>
      <c r="G7" s="30"/>
      <c r="H7" s="10" t="s">
        <v>59</v>
      </c>
      <c r="I7" s="29"/>
      <c r="J7" s="29"/>
      <c r="K7" s="28">
        <f>'NG C1'!C$256</f>
        <v>386.24299999999999</v>
      </c>
      <c r="L7" s="30">
        <f t="shared" si="1"/>
        <v>386.24299999999999</v>
      </c>
      <c r="N7" s="10" t="s">
        <v>59</v>
      </c>
      <c r="O7" s="29"/>
    </row>
    <row r="8" spans="1:15" x14ac:dyDescent="0.2">
      <c r="B8" s="12"/>
      <c r="C8" s="31">
        <f>SUM(C4:C7)</f>
        <v>101.77855635177349</v>
      </c>
      <c r="D8" s="31">
        <f t="shared" ref="D8:F8" si="2">SUM(D4:D7)</f>
        <v>48.926940745086043</v>
      </c>
      <c r="E8" s="31">
        <f t="shared" si="2"/>
        <v>386.24299999999999</v>
      </c>
      <c r="F8" s="31">
        <f t="shared" si="2"/>
        <v>536.94849709685957</v>
      </c>
      <c r="G8" s="31"/>
      <c r="H8" s="31"/>
      <c r="I8" s="31">
        <f>SUM(I4:I7)</f>
        <v>245.96484451678594</v>
      </c>
      <c r="J8" s="31">
        <f t="shared" ref="J8" si="3">SUM(J4:J7)</f>
        <v>48.926940745086043</v>
      </c>
      <c r="K8" s="31">
        <f t="shared" ref="K8" si="4">SUM(K4:K7)</f>
        <v>386.24299999999999</v>
      </c>
      <c r="L8" s="31">
        <f t="shared" ref="L8" si="5">SUM(L4:L7)</f>
        <v>681.13478526187203</v>
      </c>
      <c r="N8" s="12"/>
      <c r="O8" s="137">
        <f>SUM(O4:O7)</f>
        <v>2.8271821208825973</v>
      </c>
    </row>
    <row r="9" spans="1:15" x14ac:dyDescent="0.2">
      <c r="B9" s="12"/>
      <c r="C9" s="31"/>
      <c r="D9" s="31"/>
      <c r="E9" s="31"/>
      <c r="F9" s="32"/>
      <c r="G9" s="32"/>
      <c r="H9" s="31"/>
      <c r="I9" s="31"/>
      <c r="J9" s="31"/>
      <c r="K9" s="31"/>
      <c r="L9" s="32"/>
      <c r="N9" s="12"/>
      <c r="O9" s="31"/>
    </row>
    <row r="10" spans="1:15" s="15" customFormat="1" ht="34" x14ac:dyDescent="0.2">
      <c r="C10" s="161" t="s">
        <v>55</v>
      </c>
      <c r="D10" s="161" t="s">
        <v>56</v>
      </c>
      <c r="E10" s="161" t="s">
        <v>57</v>
      </c>
      <c r="F10" s="14" t="s">
        <v>62</v>
      </c>
      <c r="G10" s="14"/>
      <c r="I10" s="161" t="s">
        <v>55</v>
      </c>
      <c r="J10" s="161" t="s">
        <v>56</v>
      </c>
      <c r="K10" s="161" t="s">
        <v>57</v>
      </c>
      <c r="L10" s="14" t="s">
        <v>62</v>
      </c>
      <c r="O10" s="161" t="s">
        <v>55</v>
      </c>
    </row>
    <row r="11" spans="1:15" ht="17" x14ac:dyDescent="0.2">
      <c r="A11" s="276" t="str">
        <f>'NG Parameters'!C1&amp;" "&amp;'NG Parameters'!C2</f>
        <v>NATURAL GAS Case 2 2</v>
      </c>
      <c r="B11" s="10" t="s">
        <v>58</v>
      </c>
      <c r="C11" s="28">
        <f>'NG C2'!D$6</f>
        <v>106.25792260439545</v>
      </c>
      <c r="D11" s="28">
        <f>'NG C2'!C$65</f>
        <v>57.024168902148709</v>
      </c>
      <c r="E11" s="29"/>
      <c r="F11" s="30">
        <f>SUM(C11:E11)</f>
        <v>163.28209150654416</v>
      </c>
      <c r="G11" s="30"/>
      <c r="H11" s="10" t="s">
        <v>58</v>
      </c>
      <c r="I11" s="28">
        <f>'NG C2'!E$6</f>
        <v>256.78997962728903</v>
      </c>
      <c r="J11" s="28">
        <f>'NG C2'!C$65</f>
        <v>57.024168902148709</v>
      </c>
      <c r="K11" s="29"/>
      <c r="L11" s="30">
        <f>SUM(I11:K11)</f>
        <v>313.81414852943772</v>
      </c>
      <c r="N11" s="10" t="s">
        <v>58</v>
      </c>
      <c r="O11" s="151">
        <f>C11/Conversions!B$7</f>
        <v>2.951608961233207</v>
      </c>
    </row>
    <row r="12" spans="1:15" ht="34" x14ac:dyDescent="0.2">
      <c r="A12" s="276"/>
      <c r="B12" s="10" t="s">
        <v>164</v>
      </c>
      <c r="C12" s="28">
        <f>IF('NG Parameters'!$C$9="Yes",'NG C2'!D$116,0)</f>
        <v>32.59223995245199</v>
      </c>
      <c r="D12" s="28">
        <f>IF('NG Parameters'!$C$9="Yes",'NG C2'!C$201,)</f>
        <v>20.16611503633446</v>
      </c>
      <c r="E12" s="29"/>
      <c r="F12" s="30">
        <f t="shared" ref="F12:F14" si="6">SUM(C12:E12)</f>
        <v>52.758354988786451</v>
      </c>
      <c r="G12" s="30"/>
      <c r="H12" s="10" t="s">
        <v>164</v>
      </c>
      <c r="I12" s="28">
        <f>IF('NG Parameters'!$C$9="Yes",'NG C2'!E$116,0)</f>
        <v>78.764579885092317</v>
      </c>
      <c r="J12" s="28">
        <f>IF('NG Parameters'!$C$9="Yes",'NG C2'!C$201,0)</f>
        <v>20.16611503633446</v>
      </c>
      <c r="K12" s="29"/>
      <c r="L12" s="30">
        <f t="shared" ref="L12:L14" si="7">SUM(I12:K12)</f>
        <v>98.930694921426777</v>
      </c>
      <c r="N12" s="10" t="s">
        <v>164</v>
      </c>
      <c r="O12" s="151">
        <f>C12/Conversions!B$7</f>
        <v>0.90533999867922199</v>
      </c>
    </row>
    <row r="13" spans="1:15" ht="34" x14ac:dyDescent="0.2">
      <c r="A13" s="276"/>
      <c r="B13" s="10" t="s">
        <v>161</v>
      </c>
      <c r="C13" s="28">
        <f>IF('NG Parameters'!$C$20="Yes",'NG C2'!D$155,0)</f>
        <v>0</v>
      </c>
      <c r="D13" s="28">
        <f>IF('NG Parameters'!$C$20="Yes",'NG C2'!C$227,0)</f>
        <v>0</v>
      </c>
      <c r="E13" s="29"/>
      <c r="F13" s="30">
        <f t="shared" si="6"/>
        <v>0</v>
      </c>
      <c r="G13" s="30"/>
      <c r="H13" s="10" t="s">
        <v>161</v>
      </c>
      <c r="I13" s="28">
        <f>IF('NG Parameters'!$C$20="Yes",'NG C2'!E$155,0)</f>
        <v>0</v>
      </c>
      <c r="J13" s="28">
        <f>IF('NG Parameters'!$C$20="Yes",'NG C2'!C$227,0)</f>
        <v>0</v>
      </c>
      <c r="K13" s="29"/>
      <c r="L13" s="30">
        <f t="shared" si="7"/>
        <v>0</v>
      </c>
      <c r="N13" s="10" t="s">
        <v>161</v>
      </c>
      <c r="O13" s="151">
        <f>C13/Conversions!B$7</f>
        <v>0</v>
      </c>
    </row>
    <row r="14" spans="1:15" ht="17" x14ac:dyDescent="0.2">
      <c r="A14" s="276"/>
      <c r="B14" s="10" t="s">
        <v>59</v>
      </c>
      <c r="C14" s="29"/>
      <c r="D14" s="29"/>
      <c r="E14" s="28">
        <f>'NG C2'!C$256</f>
        <v>386.24299999999999</v>
      </c>
      <c r="F14" s="30">
        <f t="shared" si="6"/>
        <v>386.24299999999999</v>
      </c>
      <c r="G14" s="30"/>
      <c r="H14" s="10" t="s">
        <v>59</v>
      </c>
      <c r="I14" s="29"/>
      <c r="J14" s="29"/>
      <c r="K14" s="28">
        <f>'NG C2'!C$256</f>
        <v>386.24299999999999</v>
      </c>
      <c r="L14" s="30">
        <f t="shared" si="7"/>
        <v>386.24299999999999</v>
      </c>
      <c r="N14" s="10" t="s">
        <v>59</v>
      </c>
      <c r="O14" s="29"/>
    </row>
    <row r="15" spans="1:15" x14ac:dyDescent="0.2">
      <c r="B15" s="12"/>
      <c r="C15" s="31">
        <f>SUM(C11:C14)</f>
        <v>138.85016255684744</v>
      </c>
      <c r="D15" s="31">
        <f t="shared" ref="D15:F15" si="8">SUM(D11:D14)</f>
        <v>77.190283938483162</v>
      </c>
      <c r="E15" s="31">
        <f t="shared" si="8"/>
        <v>386.24299999999999</v>
      </c>
      <c r="F15" s="31">
        <f t="shared" si="8"/>
        <v>602.28344649533062</v>
      </c>
      <c r="G15" s="31"/>
      <c r="H15" s="31"/>
      <c r="I15" s="31">
        <f>SUM(I11:I14)</f>
        <v>335.55455951238133</v>
      </c>
      <c r="J15" s="31">
        <f t="shared" ref="J15:L15" si="9">SUM(J11:J14)</f>
        <v>77.190283938483162</v>
      </c>
      <c r="K15" s="31">
        <f t="shared" si="9"/>
        <v>386.24299999999999</v>
      </c>
      <c r="L15" s="31">
        <f t="shared" si="9"/>
        <v>798.98784345086449</v>
      </c>
      <c r="N15" s="12"/>
      <c r="O15" s="137">
        <f>SUM(O11:O14)</f>
        <v>3.8569489599124291</v>
      </c>
    </row>
    <row r="16" spans="1:15" x14ac:dyDescent="0.2">
      <c r="C16" s="31"/>
      <c r="D16" s="31"/>
      <c r="E16" s="31"/>
      <c r="F16" s="32"/>
      <c r="G16" s="32"/>
      <c r="H16" s="31"/>
      <c r="I16" s="31"/>
      <c r="J16" s="31"/>
      <c r="K16" s="31"/>
      <c r="L16" s="32"/>
      <c r="O16" s="31"/>
    </row>
    <row r="17" spans="1:15" s="15" customFormat="1" ht="34" x14ac:dyDescent="0.2">
      <c r="C17" s="178" t="s">
        <v>55</v>
      </c>
      <c r="D17" s="178" t="s">
        <v>56</v>
      </c>
      <c r="E17" s="178" t="s">
        <v>57</v>
      </c>
      <c r="F17" s="14" t="s">
        <v>62</v>
      </c>
      <c r="G17" s="14"/>
      <c r="I17" s="178" t="s">
        <v>55</v>
      </c>
      <c r="J17" s="178" t="s">
        <v>56</v>
      </c>
      <c r="K17" s="178" t="s">
        <v>57</v>
      </c>
      <c r="L17" s="14" t="s">
        <v>62</v>
      </c>
      <c r="O17" s="178" t="s">
        <v>55</v>
      </c>
    </row>
    <row r="18" spans="1:15" ht="17" x14ac:dyDescent="0.2">
      <c r="A18" s="276" t="str">
        <f>'NG Parameters'!D1&amp;" "&amp;'NG Parameters'!D2</f>
        <v>NATURAL GAS Case 3 3</v>
      </c>
      <c r="B18" s="10" t="s">
        <v>58</v>
      </c>
      <c r="C18" s="28">
        <f>'NG C3'!D$6</f>
        <v>67.635258948250708</v>
      </c>
      <c r="D18" s="28">
        <f>'NG C3'!C$65</f>
        <v>17.113661668578178</v>
      </c>
      <c r="E18" s="29"/>
      <c r="F18" s="30">
        <f>SUM(C18:E18)</f>
        <v>84.748920616828883</v>
      </c>
      <c r="G18" s="30"/>
      <c r="H18" s="10" t="s">
        <v>58</v>
      </c>
      <c r="I18" s="28">
        <f>'NG C3'!E$6</f>
        <v>163.45187579160586</v>
      </c>
      <c r="J18" s="28">
        <f>'NG C3'!C$65</f>
        <v>17.113661668578178</v>
      </c>
      <c r="K18" s="29"/>
      <c r="L18" s="30">
        <f>SUM(I18:K18)</f>
        <v>180.56553746018403</v>
      </c>
      <c r="N18" s="10" t="s">
        <v>58</v>
      </c>
      <c r="O18" s="151">
        <f>C18/Conversions!B$7</f>
        <v>1.8787571930069642</v>
      </c>
    </row>
    <row r="19" spans="1:15" ht="34" x14ac:dyDescent="0.2">
      <c r="A19" s="276"/>
      <c r="B19" s="10" t="s">
        <v>164</v>
      </c>
      <c r="C19" s="28">
        <f>IF('NG Parameters'!$D$9="Yes",'NG C3'!D$116,0)</f>
        <v>1.3580099980188332</v>
      </c>
      <c r="D19" s="28">
        <f>IF('NG Parameters'!$D$9="Yes",'NG C3'!C$201,)</f>
        <v>0.84025479318060226</v>
      </c>
      <c r="E19" s="29"/>
      <c r="F19" s="30">
        <f t="shared" ref="F19:F21" si="10">SUM(C19:E19)</f>
        <v>2.1982647911994353</v>
      </c>
      <c r="G19" s="30"/>
      <c r="H19" s="10" t="s">
        <v>164</v>
      </c>
      <c r="I19" s="28">
        <f>IF('NG Parameters'!$D$9="Yes",'NG C3'!E$116,0)</f>
        <v>3.2818574952121802</v>
      </c>
      <c r="J19" s="28">
        <f>IF('NG Parameters'!$D$9="Yes",'NG C3'!C$201,0)</f>
        <v>0.84025479318060226</v>
      </c>
      <c r="K19" s="29"/>
      <c r="L19" s="30">
        <f t="shared" ref="L19:L21" si="11">SUM(I19:K19)</f>
        <v>4.1221122883927821</v>
      </c>
      <c r="N19" s="10" t="s">
        <v>164</v>
      </c>
      <c r="O19" s="151">
        <f>C19/Conversions!B$7</f>
        <v>3.772249994496759E-2</v>
      </c>
    </row>
    <row r="20" spans="1:15" ht="34" x14ac:dyDescent="0.2">
      <c r="A20" s="276"/>
      <c r="B20" s="10" t="s">
        <v>161</v>
      </c>
      <c r="C20" s="28">
        <f>IF('NG Parameters'!$D$20="Yes",'NG C3'!D$155,0)</f>
        <v>0</v>
      </c>
      <c r="D20" s="28">
        <f>IF('NG Parameters'!$D$20="Yes",'NG C3'!C$227,0)</f>
        <v>0</v>
      </c>
      <c r="E20" s="29"/>
      <c r="F20" s="30">
        <f t="shared" si="10"/>
        <v>0</v>
      </c>
      <c r="G20" s="30"/>
      <c r="H20" s="10" t="s">
        <v>161</v>
      </c>
      <c r="I20" s="28">
        <f>IF('NG Parameters'!$D$20="Yes",'NG C3'!E$155,0)</f>
        <v>0</v>
      </c>
      <c r="J20" s="28">
        <f>IF('NG Parameters'!$D$20="Yes",'NG C3'!C$227,0)</f>
        <v>0</v>
      </c>
      <c r="K20" s="29"/>
      <c r="L20" s="30">
        <f t="shared" si="11"/>
        <v>0</v>
      </c>
      <c r="N20" s="10" t="s">
        <v>161</v>
      </c>
      <c r="O20" s="151">
        <f>C20/Conversions!B$7</f>
        <v>0</v>
      </c>
    </row>
    <row r="21" spans="1:15" ht="17" x14ac:dyDescent="0.2">
      <c r="A21" s="276"/>
      <c r="B21" s="10" t="s">
        <v>59</v>
      </c>
      <c r="C21" s="29"/>
      <c r="D21" s="29"/>
      <c r="E21" s="28">
        <f>'NG C3'!C$256</f>
        <v>386.24299999999999</v>
      </c>
      <c r="F21" s="30">
        <f t="shared" si="10"/>
        <v>386.24299999999999</v>
      </c>
      <c r="G21" s="30"/>
      <c r="H21" s="10" t="s">
        <v>59</v>
      </c>
      <c r="I21" s="29"/>
      <c r="J21" s="29"/>
      <c r="K21" s="28">
        <f>'NG C3'!C$256</f>
        <v>386.24299999999999</v>
      </c>
      <c r="L21" s="30">
        <f t="shared" si="11"/>
        <v>386.24299999999999</v>
      </c>
      <c r="N21" s="10" t="s">
        <v>59</v>
      </c>
      <c r="O21" s="29"/>
    </row>
    <row r="22" spans="1:15" x14ac:dyDescent="0.2">
      <c r="B22" s="12"/>
      <c r="C22" s="31">
        <f>SUM(C18:C21)</f>
        <v>68.993268946269538</v>
      </c>
      <c r="D22" s="31">
        <f t="shared" ref="D22:F22" si="12">SUM(D18:D21)</f>
        <v>17.95391646175878</v>
      </c>
      <c r="E22" s="31">
        <f t="shared" si="12"/>
        <v>386.24299999999999</v>
      </c>
      <c r="F22" s="31">
        <f t="shared" si="12"/>
        <v>473.1901854080283</v>
      </c>
      <c r="G22" s="31"/>
      <c r="H22" s="31"/>
      <c r="I22" s="31">
        <f>SUM(I18:I21)</f>
        <v>166.73373328681805</v>
      </c>
      <c r="J22" s="31">
        <f t="shared" ref="J22:L22" si="13">SUM(J18:J21)</f>
        <v>17.95391646175878</v>
      </c>
      <c r="K22" s="31">
        <f t="shared" si="13"/>
        <v>386.24299999999999</v>
      </c>
      <c r="L22" s="31">
        <f t="shared" si="13"/>
        <v>570.9306497485768</v>
      </c>
      <c r="N22" s="12"/>
      <c r="O22" s="137">
        <f>SUM(O18:O21)</f>
        <v>1.9164796929519319</v>
      </c>
    </row>
    <row r="23" spans="1:15" x14ac:dyDescent="0.2">
      <c r="C23" s="31"/>
      <c r="D23" s="31"/>
      <c r="E23" s="31"/>
      <c r="F23" s="32"/>
      <c r="G23" s="32"/>
      <c r="H23" s="31"/>
      <c r="I23" s="31"/>
      <c r="J23" s="31"/>
      <c r="K23" s="31"/>
      <c r="L23" s="32"/>
      <c r="O23" s="31"/>
    </row>
    <row r="24" spans="1:15" s="15" customFormat="1" ht="34" x14ac:dyDescent="0.2">
      <c r="C24" s="155" t="s">
        <v>55</v>
      </c>
      <c r="D24" s="155" t="s">
        <v>56</v>
      </c>
      <c r="E24" s="155" t="s">
        <v>57</v>
      </c>
      <c r="F24" s="14" t="s">
        <v>62</v>
      </c>
      <c r="G24" s="14"/>
      <c r="I24" s="155" t="s">
        <v>55</v>
      </c>
      <c r="J24" s="155" t="s">
        <v>56</v>
      </c>
      <c r="K24" s="155" t="s">
        <v>57</v>
      </c>
      <c r="L24" s="14" t="s">
        <v>62</v>
      </c>
      <c r="O24" s="155" t="s">
        <v>55</v>
      </c>
    </row>
    <row r="25" spans="1:15" ht="17" x14ac:dyDescent="0.2">
      <c r="A25" s="276" t="str">
        <f>'NG Parameters'!E1&amp;" "&amp;'NG Parameters'!E2</f>
        <v>NATURAL GAS Case 4 4</v>
      </c>
      <c r="B25" s="10" t="s">
        <v>58</v>
      </c>
      <c r="C25" s="28">
        <f>'NG C4'!D$6</f>
        <v>80.288688433149275</v>
      </c>
      <c r="D25" s="28">
        <f>'NG C4'!C$65</f>
        <v>36.46701403541811</v>
      </c>
      <c r="E25" s="29"/>
      <c r="F25" s="30">
        <f>SUM(C25:E25)</f>
        <v>116.75570246856739</v>
      </c>
      <c r="G25" s="30"/>
      <c r="H25" s="10" t="s">
        <v>58</v>
      </c>
      <c r="I25" s="28">
        <f>'NG C4'!E$6</f>
        <v>194.03099704677743</v>
      </c>
      <c r="J25" s="28">
        <f>'NG C4'!C$65</f>
        <v>36.46701403541811</v>
      </c>
      <c r="K25" s="29"/>
      <c r="L25" s="30">
        <f>SUM(I25:K25)</f>
        <v>230.49801108219555</v>
      </c>
      <c r="N25" s="10" t="s">
        <v>58</v>
      </c>
      <c r="O25" s="151">
        <f>C25/Conversions!B$7</f>
        <v>2.2302413453652576</v>
      </c>
    </row>
    <row r="26" spans="1:15" ht="34" x14ac:dyDescent="0.2">
      <c r="A26" s="276"/>
      <c r="B26" s="10" t="s">
        <v>164</v>
      </c>
      <c r="C26" s="28">
        <f>IF('NG Parameters'!$E$9="Yes",'NG C4'!D$116,0)</f>
        <v>9.9401682360840393</v>
      </c>
      <c r="D26" s="28">
        <f>IF('NG Parameters'!$E$9="Yes",'NG C4'!C$201,)</f>
        <v>9.0837399943632722</v>
      </c>
      <c r="E26" s="29"/>
      <c r="F26" s="30">
        <f t="shared" ref="F26:F28" si="14">SUM(C26:E26)</f>
        <v>19.023908230447311</v>
      </c>
      <c r="G26" s="30"/>
      <c r="H26" s="10" t="s">
        <v>164</v>
      </c>
      <c r="I26" s="28">
        <f>IF('NG Parameters'!$E$9="Yes",'NG C4'!E$116,0)</f>
        <v>24.022073237203095</v>
      </c>
      <c r="J26" s="28">
        <f>IF('NG Parameters'!$E$9="Yes",'NG C4'!C$201,0)</f>
        <v>9.0837399943632722</v>
      </c>
      <c r="K26" s="29"/>
      <c r="L26" s="30">
        <f t="shared" ref="L26:L28" si="15">SUM(I26:K26)</f>
        <v>33.105813231566366</v>
      </c>
      <c r="N26" s="10" t="s">
        <v>164</v>
      </c>
      <c r="O26" s="151">
        <f>C26/Conversions!B$7</f>
        <v>0.27611578433566775</v>
      </c>
    </row>
    <row r="27" spans="1:15" ht="34" x14ac:dyDescent="0.2">
      <c r="A27" s="276"/>
      <c r="B27" s="10" t="s">
        <v>161</v>
      </c>
      <c r="C27" s="28">
        <f>IF('NG Parameters'!$E$20="Yes",'NG C4'!D$155,0)</f>
        <v>30.321008855848014</v>
      </c>
      <c r="D27" s="28">
        <f>IF('NG Parameters'!$E$20="Yes",'NG C4'!C$227,0)</f>
        <v>51.519049726817272</v>
      </c>
      <c r="E27" s="29"/>
      <c r="F27" s="30">
        <f t="shared" si="14"/>
        <v>81.840058582665279</v>
      </c>
      <c r="G27" s="30"/>
      <c r="H27" s="10" t="s">
        <v>161</v>
      </c>
      <c r="I27" s="28">
        <f>IF('NG Parameters'!$E$20="Yes",'NG C4'!E$155,0)</f>
        <v>73.275771401632696</v>
      </c>
      <c r="J27" s="28">
        <f>IF('NG Parameters'!$E$20="Yes",'NG C4'!C$227,0)</f>
        <v>51.519049726817272</v>
      </c>
      <c r="K27" s="29"/>
      <c r="L27" s="30">
        <f t="shared" si="15"/>
        <v>124.79482112844997</v>
      </c>
      <c r="N27" s="10" t="s">
        <v>161</v>
      </c>
      <c r="O27" s="151">
        <f>C27/Conversions!B$7</f>
        <v>0.84225024599577814</v>
      </c>
    </row>
    <row r="28" spans="1:15" ht="17" x14ac:dyDescent="0.2">
      <c r="A28" s="276"/>
      <c r="B28" s="10" t="s">
        <v>59</v>
      </c>
      <c r="C28" s="29"/>
      <c r="D28" s="29"/>
      <c r="E28" s="28">
        <f>'NG C4'!C$256</f>
        <v>363.23726358148895</v>
      </c>
      <c r="F28" s="30">
        <f t="shared" si="14"/>
        <v>363.23726358148895</v>
      </c>
      <c r="G28" s="30"/>
      <c r="H28" s="10" t="s">
        <v>59</v>
      </c>
      <c r="I28" s="29"/>
      <c r="J28" s="29"/>
      <c r="K28" s="28">
        <f>'NG C4'!C$256</f>
        <v>363.23726358148895</v>
      </c>
      <c r="L28" s="30">
        <f t="shared" si="15"/>
        <v>363.23726358148895</v>
      </c>
      <c r="N28" s="10" t="s">
        <v>59</v>
      </c>
      <c r="O28" s="29"/>
    </row>
    <row r="29" spans="1:15" x14ac:dyDescent="0.2">
      <c r="B29" s="12"/>
      <c r="C29" s="31">
        <f>SUM(C25:C28)</f>
        <v>120.54986552508132</v>
      </c>
      <c r="D29" s="31">
        <f t="shared" ref="D29:F29" si="16">SUM(D25:D28)</f>
        <v>97.069803756598645</v>
      </c>
      <c r="E29" s="31">
        <f t="shared" si="16"/>
        <v>363.23726358148895</v>
      </c>
      <c r="F29" s="31">
        <f t="shared" si="16"/>
        <v>580.85693286316894</v>
      </c>
      <c r="G29" s="31"/>
      <c r="H29" s="31"/>
      <c r="I29" s="31">
        <f>SUM(I25:I28)</f>
        <v>291.32884168561321</v>
      </c>
      <c r="J29" s="31">
        <f t="shared" ref="J29:L29" si="17">SUM(J25:J28)</f>
        <v>97.069803756598645</v>
      </c>
      <c r="K29" s="31">
        <f t="shared" si="17"/>
        <v>363.23726358148895</v>
      </c>
      <c r="L29" s="31">
        <f t="shared" si="17"/>
        <v>751.63590902370083</v>
      </c>
      <c r="N29" s="12"/>
      <c r="O29" s="137">
        <f>SUM(O25:O28)</f>
        <v>3.3486073756967034</v>
      </c>
    </row>
    <row r="30" spans="1:15" x14ac:dyDescent="0.2">
      <c r="B30" s="12"/>
      <c r="C30" s="31"/>
      <c r="D30" s="31"/>
      <c r="E30" s="31"/>
      <c r="F30" s="32"/>
      <c r="G30" s="32"/>
      <c r="H30" s="31"/>
      <c r="I30" s="31"/>
      <c r="J30" s="31"/>
      <c r="K30" s="31"/>
      <c r="L30" s="32"/>
      <c r="N30" s="12"/>
      <c r="O30" s="31"/>
    </row>
    <row r="31" spans="1:15" s="15" customFormat="1" ht="34" x14ac:dyDescent="0.2">
      <c r="C31" s="169" t="s">
        <v>55</v>
      </c>
      <c r="D31" s="169" t="s">
        <v>56</v>
      </c>
      <c r="E31" s="169" t="s">
        <v>57</v>
      </c>
      <c r="F31" s="14" t="s">
        <v>62</v>
      </c>
      <c r="G31" s="14"/>
      <c r="I31" s="169" t="s">
        <v>55</v>
      </c>
      <c r="J31" s="169" t="s">
        <v>56</v>
      </c>
      <c r="K31" s="169" t="s">
        <v>57</v>
      </c>
      <c r="L31" s="14" t="s">
        <v>62</v>
      </c>
      <c r="O31" s="169" t="s">
        <v>55</v>
      </c>
    </row>
    <row r="32" spans="1:15" ht="17" x14ac:dyDescent="0.2">
      <c r="A32" s="276" t="str">
        <f>'NG Parameters'!F1&amp;" "&amp;'NG Parameters'!F2</f>
        <v>NATURAL GAS Case 5 5</v>
      </c>
      <c r="B32" s="10" t="s">
        <v>58</v>
      </c>
      <c r="C32" s="28">
        <f>'NG C5'!D$6</f>
        <v>34.053683976776824</v>
      </c>
      <c r="D32" s="28">
        <f>'NG C5'!C$65</f>
        <v>35.598612420118833</v>
      </c>
      <c r="E32" s="29"/>
      <c r="F32" s="30">
        <f>SUM(C32:E32)</f>
        <v>69.65229639689565</v>
      </c>
      <c r="G32" s="30"/>
      <c r="H32" s="10" t="s">
        <v>58</v>
      </c>
      <c r="I32" s="28">
        <f>'NG C5'!E$6</f>
        <v>82.296402943877325</v>
      </c>
      <c r="J32" s="28">
        <f>'NG C5'!C$65</f>
        <v>35.598612420118833</v>
      </c>
      <c r="K32" s="29"/>
      <c r="L32" s="30">
        <f>SUM(I32:K32)</f>
        <v>117.89501536399615</v>
      </c>
      <c r="N32" s="10" t="s">
        <v>58</v>
      </c>
      <c r="O32" s="151">
        <f>C32/Conversions!B$7</f>
        <v>0.94593566602157841</v>
      </c>
    </row>
    <row r="33" spans="1:15" ht="34" x14ac:dyDescent="0.2">
      <c r="A33" s="276"/>
      <c r="B33" s="10" t="s">
        <v>164</v>
      </c>
      <c r="C33" s="28">
        <f>IF('NG Parameters'!$F$9="Yes",'NG C5'!D$116,0)</f>
        <v>3.799353192458788</v>
      </c>
      <c r="D33" s="28">
        <f>IF('NG Parameters'!$F$9="Yes",'NG C5'!C$201,)</f>
        <v>2.1113557824736255</v>
      </c>
      <c r="E33" s="29"/>
      <c r="F33" s="30">
        <f t="shared" ref="F33:F35" si="18">SUM(C33:E33)</f>
        <v>5.9107089749324135</v>
      </c>
      <c r="G33" s="30"/>
      <c r="H33" s="10" t="s">
        <v>164</v>
      </c>
      <c r="I33" s="28">
        <f>IF('NG Parameters'!$F$9="Yes",'NG C5'!E$116,0)</f>
        <v>9.1817702151087381</v>
      </c>
      <c r="J33" s="28">
        <f>IF('NG Parameters'!$F$9="Yes",'NG C5'!C$201,0)</f>
        <v>2.1113557824736255</v>
      </c>
      <c r="K33" s="29"/>
      <c r="L33" s="30">
        <f t="shared" ref="L33:L35" si="19">SUM(I33:K33)</f>
        <v>11.293125997582363</v>
      </c>
      <c r="N33" s="10" t="s">
        <v>164</v>
      </c>
      <c r="O33" s="151">
        <f>C33/Conversions!B$7</f>
        <v>0.10553758867941078</v>
      </c>
    </row>
    <row r="34" spans="1:15" ht="34" x14ac:dyDescent="0.2">
      <c r="A34" s="276"/>
      <c r="B34" s="10" t="s">
        <v>161</v>
      </c>
      <c r="C34" s="28">
        <f>IF('NG Parameters'!$F$20="Yes",'NG C5'!D$155,0)</f>
        <v>30.321008855848014</v>
      </c>
      <c r="D34" s="28">
        <f>IF('NG Parameters'!$F$20="Yes",'NG C5'!C$227,0)</f>
        <v>51.519049726817272</v>
      </c>
      <c r="E34" s="29"/>
      <c r="F34" s="30">
        <f t="shared" si="18"/>
        <v>81.840058582665279</v>
      </c>
      <c r="G34" s="30"/>
      <c r="H34" s="10" t="s">
        <v>161</v>
      </c>
      <c r="I34" s="28">
        <f>IF('NG Parameters'!$F$20="Yes",'NG C5'!E$155,0)</f>
        <v>73.275771401632696</v>
      </c>
      <c r="J34" s="28">
        <f>IF('NG Parameters'!$F$20="Yes",'NG C5'!C$227,0)</f>
        <v>51.519049726817272</v>
      </c>
      <c r="K34" s="29"/>
      <c r="L34" s="30">
        <f t="shared" si="19"/>
        <v>124.79482112844997</v>
      </c>
      <c r="N34" s="10" t="s">
        <v>161</v>
      </c>
      <c r="O34" s="151">
        <f>C34/Conversions!B$7</f>
        <v>0.84225024599577814</v>
      </c>
    </row>
    <row r="35" spans="1:15" ht="17" x14ac:dyDescent="0.2">
      <c r="A35" s="276"/>
      <c r="B35" s="10" t="s">
        <v>59</v>
      </c>
      <c r="C35" s="29"/>
      <c r="D35" s="29"/>
      <c r="E35" s="28">
        <f>'NG C5'!C$256</f>
        <v>363.23726358148895</v>
      </c>
      <c r="F35" s="30">
        <f t="shared" si="18"/>
        <v>363.23726358148895</v>
      </c>
      <c r="G35" s="30"/>
      <c r="H35" s="10" t="s">
        <v>59</v>
      </c>
      <c r="I35" s="29"/>
      <c r="J35" s="29"/>
      <c r="K35" s="28">
        <f>'NG C5'!C$256</f>
        <v>363.23726358148895</v>
      </c>
      <c r="L35" s="30">
        <f t="shared" si="19"/>
        <v>363.23726358148895</v>
      </c>
      <c r="N35" s="10" t="s">
        <v>59</v>
      </c>
      <c r="O35" s="29"/>
    </row>
    <row r="36" spans="1:15" x14ac:dyDescent="0.2">
      <c r="B36" s="12"/>
      <c r="C36" s="31">
        <f>SUM(C32:C35)</f>
        <v>68.174046025083626</v>
      </c>
      <c r="D36" s="31">
        <f t="shared" ref="D36:F36" si="20">SUM(D32:D35)</f>
        <v>89.229017929409736</v>
      </c>
      <c r="E36" s="31">
        <f t="shared" si="20"/>
        <v>363.23726358148895</v>
      </c>
      <c r="F36" s="31">
        <f t="shared" si="20"/>
        <v>520.64032753598235</v>
      </c>
      <c r="G36" s="31"/>
      <c r="H36" s="31"/>
      <c r="I36" s="31">
        <f>SUM(I32:I35)</f>
        <v>164.75394456061878</v>
      </c>
      <c r="J36" s="31">
        <f t="shared" ref="J36:L36" si="21">SUM(J32:J35)</f>
        <v>89.229017929409736</v>
      </c>
      <c r="K36" s="31">
        <f t="shared" si="21"/>
        <v>363.23726358148895</v>
      </c>
      <c r="L36" s="31">
        <f t="shared" si="21"/>
        <v>617.22022607151746</v>
      </c>
      <c r="N36" s="12"/>
      <c r="O36" s="137">
        <f>SUM(O32:O35)</f>
        <v>1.8937235006967674</v>
      </c>
    </row>
    <row r="37" spans="1:15" x14ac:dyDescent="0.2">
      <c r="B37" s="12"/>
      <c r="C37" s="31"/>
      <c r="D37" s="31"/>
      <c r="E37" s="31"/>
      <c r="F37" s="32"/>
      <c r="G37" s="32"/>
      <c r="H37" s="31"/>
      <c r="I37" s="31"/>
      <c r="J37" s="31"/>
      <c r="K37" s="31"/>
      <c r="L37" s="32"/>
      <c r="N37" s="12"/>
      <c r="O37" s="31"/>
    </row>
    <row r="38" spans="1:15" ht="34" x14ac:dyDescent="0.2">
      <c r="B38" s="15"/>
      <c r="C38" s="157" t="s">
        <v>55</v>
      </c>
      <c r="D38" s="157" t="s">
        <v>56</v>
      </c>
      <c r="E38" s="157" t="s">
        <v>57</v>
      </c>
      <c r="F38" s="14" t="s">
        <v>62</v>
      </c>
      <c r="G38" s="14"/>
      <c r="H38" s="15"/>
      <c r="I38" s="157" t="s">
        <v>55</v>
      </c>
      <c r="J38" s="157" t="s">
        <v>56</v>
      </c>
      <c r="K38" s="157" t="s">
        <v>57</v>
      </c>
      <c r="L38" s="14" t="s">
        <v>62</v>
      </c>
      <c r="M38" s="15"/>
      <c r="N38" s="15"/>
      <c r="O38" s="157" t="s">
        <v>55</v>
      </c>
    </row>
    <row r="39" spans="1:15" ht="17" x14ac:dyDescent="0.2">
      <c r="A39" s="276" t="str">
        <f>'NG Parameters'!G1&amp;" "&amp;'NG Parameters'!G2</f>
        <v>NATURAL GAS Case 6 6</v>
      </c>
      <c r="B39" s="10" t="s">
        <v>58</v>
      </c>
      <c r="C39" s="28">
        <f>'NG C6'!D$6</f>
        <v>35.13851241235065</v>
      </c>
      <c r="D39" s="28">
        <f>'NG C6'!C$65</f>
        <v>49.566207207903766</v>
      </c>
      <c r="E39" s="29"/>
      <c r="F39" s="30">
        <f>SUM(C39:E39)</f>
        <v>84.704719620254423</v>
      </c>
      <c r="G39" s="30"/>
      <c r="H39" s="10" t="s">
        <v>58</v>
      </c>
      <c r="I39" s="28">
        <f>'NG C6'!E$6</f>
        <v>84.918071663180726</v>
      </c>
      <c r="J39" s="28">
        <f>'NG C6'!C$65</f>
        <v>49.566207207903766</v>
      </c>
      <c r="K39" s="29"/>
      <c r="L39" s="30">
        <f>SUM(I39:K39)</f>
        <v>134.48427887108448</v>
      </c>
      <c r="N39" s="10" t="s">
        <v>58</v>
      </c>
      <c r="O39" s="151">
        <f>C39/Conversions!B$7</f>
        <v>0.97606978923196253</v>
      </c>
    </row>
    <row r="40" spans="1:15" ht="34" x14ac:dyDescent="0.2">
      <c r="A40" s="276"/>
      <c r="B40" s="10" t="s">
        <v>164</v>
      </c>
      <c r="C40" s="28">
        <f>IF('NG Parameters'!$G$9="Yes",'NG C6'!D$116,0)</f>
        <v>70.685640789930957</v>
      </c>
      <c r="D40" s="28">
        <f>IF('NG Parameters'!$G$9="Yes",'NG C6'!C$201,)</f>
        <v>39.28103781346281</v>
      </c>
      <c r="E40" s="29"/>
      <c r="F40" s="30">
        <f t="shared" ref="F40:F42" si="22">SUM(C40:E40)</f>
        <v>109.96667860339377</v>
      </c>
      <c r="G40" s="30"/>
      <c r="H40" s="10" t="s">
        <v>164</v>
      </c>
      <c r="I40" s="28">
        <f>IF('NG Parameters'!$G$9="Yes",'NG C6'!E$116,0)</f>
        <v>170.8236319089998</v>
      </c>
      <c r="J40" s="28">
        <f>IF('NG Parameters'!$G$9="Yes",'NG C6'!C$201,0)</f>
        <v>39.28103781346281</v>
      </c>
      <c r="K40" s="29"/>
      <c r="L40" s="30">
        <f t="shared" ref="L40:L42" si="23">SUM(I40:K40)</f>
        <v>210.1046697224626</v>
      </c>
      <c r="N40" s="10" t="s">
        <v>164</v>
      </c>
      <c r="O40" s="151">
        <f>C40/Conversions!B$7</f>
        <v>1.9634900219425266</v>
      </c>
    </row>
    <row r="41" spans="1:15" ht="34" x14ac:dyDescent="0.2">
      <c r="A41" s="276"/>
      <c r="B41" s="10" t="s">
        <v>161</v>
      </c>
      <c r="C41" s="28">
        <f>IF('NG Parameters'!$G$20="Yes",'NG C6'!D$155,0)</f>
        <v>0</v>
      </c>
      <c r="D41" s="28">
        <f>IF('NG Parameters'!$G$20="Yes",'NG C6'!C$227,0)</f>
        <v>0</v>
      </c>
      <c r="E41" s="29"/>
      <c r="F41" s="30">
        <f t="shared" si="22"/>
        <v>0</v>
      </c>
      <c r="G41" s="30"/>
      <c r="H41" s="10" t="s">
        <v>161</v>
      </c>
      <c r="I41" s="28">
        <f>IF('NG Parameters'!$G$20="Yes",'NG C6'!E$155,0)</f>
        <v>0</v>
      </c>
      <c r="J41" s="28">
        <f>IF('NG Parameters'!$G$20="Yes",'NG C6'!C$227,0)</f>
        <v>0</v>
      </c>
      <c r="K41" s="29"/>
      <c r="L41" s="30">
        <f t="shared" si="23"/>
        <v>0</v>
      </c>
      <c r="N41" s="10" t="s">
        <v>161</v>
      </c>
      <c r="O41" s="151">
        <f>C41/Conversions!B$7</f>
        <v>0</v>
      </c>
    </row>
    <row r="42" spans="1:15" ht="17" x14ac:dyDescent="0.2">
      <c r="A42" s="276"/>
      <c r="B42" s="10" t="s">
        <v>59</v>
      </c>
      <c r="C42" s="29"/>
      <c r="D42" s="29"/>
      <c r="E42" s="28">
        <f>'NG C6'!C$256</f>
        <v>363.23726358148895</v>
      </c>
      <c r="F42" s="30">
        <f t="shared" si="22"/>
        <v>363.23726358148895</v>
      </c>
      <c r="G42" s="30"/>
      <c r="H42" s="10" t="s">
        <v>59</v>
      </c>
      <c r="I42" s="29"/>
      <c r="J42" s="29"/>
      <c r="K42" s="28">
        <f>'NG C6'!C$256</f>
        <v>363.23726358148895</v>
      </c>
      <c r="L42" s="30">
        <f t="shared" si="23"/>
        <v>363.23726358148895</v>
      </c>
      <c r="N42" s="10" t="s">
        <v>59</v>
      </c>
      <c r="O42" s="29"/>
    </row>
    <row r="43" spans="1:15" x14ac:dyDescent="0.2">
      <c r="B43" s="12"/>
      <c r="C43" s="31">
        <f>SUM(C39:C42)</f>
        <v>105.82415320228161</v>
      </c>
      <c r="D43" s="31">
        <f t="shared" ref="D43:F43" si="24">SUM(D39:D42)</f>
        <v>88.847245021366575</v>
      </c>
      <c r="E43" s="31">
        <f t="shared" si="24"/>
        <v>363.23726358148895</v>
      </c>
      <c r="F43" s="31">
        <f t="shared" si="24"/>
        <v>557.90866180513717</v>
      </c>
      <c r="G43" s="31"/>
      <c r="H43" s="31"/>
      <c r="I43" s="31">
        <f>SUM(I39:I42)</f>
        <v>255.74170357218054</v>
      </c>
      <c r="J43" s="31">
        <f t="shared" ref="J43:L43" si="25">SUM(J39:J42)</f>
        <v>88.847245021366575</v>
      </c>
      <c r="K43" s="31">
        <f t="shared" si="25"/>
        <v>363.23726358148895</v>
      </c>
      <c r="L43" s="31">
        <f t="shared" si="25"/>
        <v>707.82621217503606</v>
      </c>
      <c r="N43" s="12"/>
      <c r="O43" s="137">
        <f>SUM(O39:O42)</f>
        <v>2.9395598111744894</v>
      </c>
    </row>
    <row r="45" spans="1:15" ht="34" x14ac:dyDescent="0.2">
      <c r="B45" s="10"/>
      <c r="C45" s="33" t="s">
        <v>55</v>
      </c>
      <c r="D45" s="33" t="s">
        <v>56</v>
      </c>
      <c r="E45" s="33" t="s">
        <v>57</v>
      </c>
      <c r="F45" s="30" t="s">
        <v>62</v>
      </c>
      <c r="G45" s="30"/>
      <c r="H45" s="31"/>
      <c r="I45" s="33" t="s">
        <v>55</v>
      </c>
      <c r="J45" s="33" t="s">
        <v>56</v>
      </c>
      <c r="K45" s="33" t="s">
        <v>57</v>
      </c>
      <c r="L45" s="30" t="s">
        <v>62</v>
      </c>
      <c r="N45" s="10"/>
      <c r="O45" s="33" t="s">
        <v>55</v>
      </c>
    </row>
    <row r="46" spans="1:15" ht="17" x14ac:dyDescent="0.2">
      <c r="A46" s="275" t="str">
        <f>'Coal Parameters'!B1&amp;" "&amp;'Coal Parameters'!B2</f>
        <v>COAL Case 1 1</v>
      </c>
      <c r="B46" s="10" t="s">
        <v>58</v>
      </c>
      <c r="C46" s="34">
        <f>'Coal C1'!D$6</f>
        <v>59.388642482844652</v>
      </c>
      <c r="D46" s="34">
        <f>'Coal C1'!C$20</f>
        <v>1.1867730408608856</v>
      </c>
      <c r="E46" s="35"/>
      <c r="F46" s="36">
        <f>SUM(C46:E46)</f>
        <v>60.575415523705537</v>
      </c>
      <c r="G46" s="30"/>
      <c r="H46" s="10" t="s">
        <v>58</v>
      </c>
      <c r="I46" s="34">
        <f>'Coal C1'!E$6</f>
        <v>143.52255266687459</v>
      </c>
      <c r="J46" s="34">
        <f>'Coal C1'!C$20</f>
        <v>1.1867730408608856</v>
      </c>
      <c r="K46" s="35"/>
      <c r="L46" s="36">
        <f>SUM(I46:K46)</f>
        <v>144.70932570773547</v>
      </c>
      <c r="N46" s="10" t="s">
        <v>58</v>
      </c>
      <c r="O46" s="151">
        <f>C46/Conversions!B$7</f>
        <v>1.6496845134123514</v>
      </c>
    </row>
    <row r="47" spans="1:15" ht="34" x14ac:dyDescent="0.2">
      <c r="A47" s="275"/>
      <c r="B47" s="10" t="s">
        <v>162</v>
      </c>
      <c r="C47" s="35"/>
      <c r="D47" s="34">
        <f>IF('Coal Parameters'!$B$6="Yes",'Coal C1'!C$33,0)</f>
        <v>7.7150495696116641</v>
      </c>
      <c r="E47" s="35"/>
      <c r="F47" s="36">
        <f>SUM(C47:E47)</f>
        <v>7.7150495696116641</v>
      </c>
      <c r="G47" s="30"/>
      <c r="H47" s="10" t="s">
        <v>162</v>
      </c>
      <c r="I47" s="35"/>
      <c r="J47" s="34">
        <f>IF('Coal Parameters'!$B$6="Yes",'Coal C1'!C$33,0)</f>
        <v>7.7150495696116641</v>
      </c>
      <c r="K47" s="35"/>
      <c r="L47" s="36">
        <f>SUM(I47:K47)</f>
        <v>7.7150495696116641</v>
      </c>
      <c r="N47" s="10" t="s">
        <v>162</v>
      </c>
      <c r="O47" s="35"/>
    </row>
    <row r="48" spans="1:15" ht="34" x14ac:dyDescent="0.2">
      <c r="A48" s="275"/>
      <c r="B48" s="10" t="s">
        <v>163</v>
      </c>
      <c r="C48" s="35"/>
      <c r="D48" s="34">
        <f>IF('Coal Parameters'!$B$9="Yes",'Coal C1'!C$46,0)</f>
        <v>0</v>
      </c>
      <c r="E48" s="35"/>
      <c r="F48" s="36">
        <f>SUM(C48:E48)</f>
        <v>0</v>
      </c>
      <c r="G48" s="30"/>
      <c r="H48" s="10" t="s">
        <v>163</v>
      </c>
      <c r="I48" s="35"/>
      <c r="J48" s="34">
        <f>IF('Coal Parameters'!$B$9="Yes",'Coal C1'!C$46,0)</f>
        <v>0</v>
      </c>
      <c r="K48" s="35"/>
      <c r="L48" s="36">
        <f>SUM(I48:K48)</f>
        <v>0</v>
      </c>
      <c r="N48" s="10" t="s">
        <v>163</v>
      </c>
      <c r="O48" s="35"/>
    </row>
    <row r="49" spans="1:15" ht="17" x14ac:dyDescent="0.2">
      <c r="A49" s="275"/>
      <c r="B49" s="10" t="s">
        <v>59</v>
      </c>
      <c r="C49" s="35"/>
      <c r="D49" s="35"/>
      <c r="E49" s="34">
        <f>'Coal C1'!C$63</f>
        <v>1013.6426666666665</v>
      </c>
      <c r="F49" s="36">
        <f>SUM(C49:E49)</f>
        <v>1013.6426666666665</v>
      </c>
      <c r="G49" s="36"/>
      <c r="H49" s="16"/>
      <c r="I49" s="35"/>
      <c r="J49" s="35"/>
      <c r="K49" s="34">
        <f>'Coal C1'!C$63</f>
        <v>1013.6426666666665</v>
      </c>
      <c r="L49" s="36">
        <f>SUM(I49:K49)</f>
        <v>1013.6426666666665</v>
      </c>
      <c r="N49" s="10" t="s">
        <v>59</v>
      </c>
      <c r="O49" s="35"/>
    </row>
    <row r="50" spans="1:15" x14ac:dyDescent="0.2">
      <c r="C50" s="16">
        <f>SUM(C46:C49)</f>
        <v>59.388642482844652</v>
      </c>
      <c r="D50" s="16">
        <f>SUM(D46:D49)</f>
        <v>8.90182261047255</v>
      </c>
      <c r="E50" s="16">
        <f>SUM(E46:E49)</f>
        <v>1013.6426666666665</v>
      </c>
      <c r="F50" s="16">
        <f>SUM(F46:F49)</f>
        <v>1081.9331317599838</v>
      </c>
      <c r="G50" s="16"/>
      <c r="H50" s="16"/>
      <c r="I50" s="16">
        <f>SUM(I46:I49)</f>
        <v>143.52255266687459</v>
      </c>
      <c r="J50" s="16">
        <f t="shared" ref="J50" si="26">SUM(J46:J49)</f>
        <v>8.90182261047255</v>
      </c>
      <c r="K50" s="16">
        <f t="shared" ref="K50" si="27">SUM(K46:K49)</f>
        <v>1013.6426666666665</v>
      </c>
      <c r="L50" s="16">
        <f t="shared" ref="L50" si="28">SUM(L46:L49)</f>
        <v>1166.0670419440137</v>
      </c>
      <c r="O50" s="153">
        <f>SUM(O46:O49)</f>
        <v>1.6496845134123514</v>
      </c>
    </row>
    <row r="51" spans="1:15" x14ac:dyDescent="0.2">
      <c r="C51" s="31"/>
      <c r="D51" s="31"/>
      <c r="E51" s="31"/>
      <c r="F51" s="32"/>
      <c r="G51" s="32"/>
      <c r="H51" s="31"/>
      <c r="I51" s="31"/>
      <c r="J51" s="31"/>
      <c r="K51" s="31"/>
      <c r="L51" s="32"/>
    </row>
    <row r="52" spans="1:15" ht="34" x14ac:dyDescent="0.2">
      <c r="B52" s="10"/>
      <c r="C52" s="33" t="s">
        <v>55</v>
      </c>
      <c r="D52" s="33" t="s">
        <v>56</v>
      </c>
      <c r="E52" s="33" t="s">
        <v>57</v>
      </c>
      <c r="F52" s="30" t="s">
        <v>62</v>
      </c>
      <c r="G52" s="30"/>
      <c r="H52" s="31"/>
      <c r="I52" s="33" t="s">
        <v>55</v>
      </c>
      <c r="J52" s="33" t="s">
        <v>56</v>
      </c>
      <c r="K52" s="33" t="s">
        <v>57</v>
      </c>
      <c r="L52" s="30" t="s">
        <v>62</v>
      </c>
      <c r="N52" s="10"/>
      <c r="O52" s="33" t="s">
        <v>55</v>
      </c>
    </row>
    <row r="53" spans="1:15" ht="17" x14ac:dyDescent="0.2">
      <c r="A53" s="275" t="str">
        <f>'Coal Parameters'!C1&amp;" "&amp;'Coal Parameters'!C2</f>
        <v>COAL Case 2 2</v>
      </c>
      <c r="B53" s="10" t="s">
        <v>58</v>
      </c>
      <c r="C53" s="34">
        <f>'Coal C2'!D$6</f>
        <v>83.408720416028842</v>
      </c>
      <c r="D53" s="34">
        <f>'Coal C2'!C$20</f>
        <v>1.0485166666666668</v>
      </c>
      <c r="E53" s="35"/>
      <c r="F53" s="36">
        <f>SUM(C53:E53)</f>
        <v>84.457237082695514</v>
      </c>
      <c r="G53" s="36"/>
      <c r="H53" s="10" t="s">
        <v>58</v>
      </c>
      <c r="I53" s="34">
        <f>'Coal C2'!E$6</f>
        <v>201.57107433873637</v>
      </c>
      <c r="J53" s="34">
        <f>'Coal C2'!C$20</f>
        <v>1.0485166666666668</v>
      </c>
      <c r="K53" s="35"/>
      <c r="L53" s="36">
        <f>SUM(I53:K53)</f>
        <v>202.61959100540304</v>
      </c>
      <c r="N53" s="10" t="s">
        <v>58</v>
      </c>
      <c r="O53" s="151">
        <f>C53/Conversions!B$7</f>
        <v>2.3169089004452457</v>
      </c>
    </row>
    <row r="54" spans="1:15" ht="34" x14ac:dyDescent="0.2">
      <c r="A54" s="275"/>
      <c r="B54" s="10" t="s">
        <v>162</v>
      </c>
      <c r="C54" s="35"/>
      <c r="D54" s="34">
        <f>IF('Coal Parameters'!$C$6="Yes",'Coal C2'!C$33,0)</f>
        <v>0.30254166666666671</v>
      </c>
      <c r="E54" s="35"/>
      <c r="F54" s="36">
        <f t="shared" ref="F54:F56" si="29">SUM(C54:E54)</f>
        <v>0.30254166666666671</v>
      </c>
      <c r="G54" s="36"/>
      <c r="H54" s="10" t="s">
        <v>162</v>
      </c>
      <c r="I54" s="35"/>
      <c r="J54" s="34">
        <f>IF('Coal Parameters'!$C$6="Yes",'Coal C2'!C$33,0)</f>
        <v>0.30254166666666671</v>
      </c>
      <c r="K54" s="35"/>
      <c r="L54" s="36">
        <f t="shared" ref="L54:L56" si="30">SUM(I54:K54)</f>
        <v>0.30254166666666671</v>
      </c>
      <c r="N54" s="10" t="s">
        <v>162</v>
      </c>
      <c r="O54" s="35"/>
    </row>
    <row r="55" spans="1:15" ht="34" x14ac:dyDescent="0.2">
      <c r="A55" s="275"/>
      <c r="B55" s="10" t="s">
        <v>163</v>
      </c>
      <c r="C55" s="35"/>
      <c r="D55" s="34">
        <f>IF('Coal Parameters'!$C$9="Yes",'Coal C2'!C$46,0)</f>
        <v>0</v>
      </c>
      <c r="E55" s="35"/>
      <c r="F55" s="36">
        <f t="shared" si="29"/>
        <v>0</v>
      </c>
      <c r="G55" s="36"/>
      <c r="H55" s="10" t="s">
        <v>163</v>
      </c>
      <c r="I55" s="35"/>
      <c r="J55" s="34">
        <f>IF('Coal Parameters'!$C$9="Yes",'Coal C2'!C$46,0)</f>
        <v>0</v>
      </c>
      <c r="K55" s="35"/>
      <c r="L55" s="36">
        <f t="shared" si="30"/>
        <v>0</v>
      </c>
      <c r="N55" s="10" t="s">
        <v>163</v>
      </c>
      <c r="O55" s="35"/>
    </row>
    <row r="56" spans="1:15" ht="17" x14ac:dyDescent="0.2">
      <c r="A56" s="275"/>
      <c r="B56" s="10" t="s">
        <v>59</v>
      </c>
      <c r="C56" s="35"/>
      <c r="D56" s="35"/>
      <c r="E56" s="34">
        <f>'Coal C2'!C$63</f>
        <v>1013.6426666666665</v>
      </c>
      <c r="F56" s="36">
        <f t="shared" si="29"/>
        <v>1013.6426666666665</v>
      </c>
      <c r="G56" s="36"/>
      <c r="H56" s="16"/>
      <c r="I56" s="35"/>
      <c r="J56" s="35"/>
      <c r="K56" s="34">
        <f>'Coal C2'!C$63</f>
        <v>1013.6426666666665</v>
      </c>
      <c r="L56" s="36">
        <f t="shared" si="30"/>
        <v>1013.6426666666665</v>
      </c>
      <c r="N56" s="10" t="s">
        <v>59</v>
      </c>
      <c r="O56" s="35"/>
    </row>
    <row r="57" spans="1:15" x14ac:dyDescent="0.2">
      <c r="C57" s="16">
        <f>SUM(C53:C56)</f>
        <v>83.408720416028842</v>
      </c>
      <c r="D57" s="16">
        <f t="shared" ref="D57:F57" si="31">SUM(D53:D56)</f>
        <v>1.3510583333333335</v>
      </c>
      <c r="E57" s="16">
        <f t="shared" si="31"/>
        <v>1013.6426666666665</v>
      </c>
      <c r="F57" s="16">
        <f t="shared" si="31"/>
        <v>1098.4024454160287</v>
      </c>
      <c r="G57" s="16"/>
      <c r="H57" s="16"/>
      <c r="I57" s="16">
        <f>SUM(I53:I56)</f>
        <v>201.57107433873637</v>
      </c>
      <c r="J57" s="16">
        <f t="shared" ref="J57:L57" si="32">SUM(J53:J56)</f>
        <v>1.3510583333333335</v>
      </c>
      <c r="K57" s="16">
        <f t="shared" si="32"/>
        <v>1013.6426666666665</v>
      </c>
      <c r="L57" s="16">
        <f t="shared" si="32"/>
        <v>1216.5647993387363</v>
      </c>
      <c r="O57" s="153">
        <f>SUM(O53:O56)</f>
        <v>2.3169089004452457</v>
      </c>
    </row>
    <row r="59" spans="1:15" x14ac:dyDescent="0.2">
      <c r="C59" s="31"/>
      <c r="D59" s="31"/>
      <c r="E59" s="31"/>
      <c r="F59" s="32"/>
      <c r="G59" s="32"/>
      <c r="H59" s="31"/>
      <c r="I59" s="31"/>
      <c r="J59" s="31"/>
      <c r="K59" s="31"/>
      <c r="L59" s="32"/>
      <c r="O59" s="31"/>
    </row>
    <row r="60" spans="1:15" ht="34" x14ac:dyDescent="0.2">
      <c r="B60" s="10"/>
      <c r="C60" s="33" t="s">
        <v>55</v>
      </c>
      <c r="D60" s="33" t="s">
        <v>56</v>
      </c>
      <c r="E60" s="33" t="s">
        <v>57</v>
      </c>
      <c r="F60" s="30" t="s">
        <v>62</v>
      </c>
      <c r="G60" s="30"/>
      <c r="H60" s="31"/>
      <c r="I60" s="33" t="s">
        <v>55</v>
      </c>
      <c r="J60" s="33" t="s">
        <v>56</v>
      </c>
      <c r="K60" s="33" t="s">
        <v>57</v>
      </c>
      <c r="L60" s="30" t="s">
        <v>62</v>
      </c>
      <c r="N60" s="10"/>
      <c r="O60" s="33" t="s">
        <v>55</v>
      </c>
    </row>
    <row r="61" spans="1:15" ht="17" x14ac:dyDescent="0.2">
      <c r="A61" s="275" t="str">
        <f>'Coal Parameters'!D1&amp;" "&amp;'Coal Parameters'!D2</f>
        <v>COAL Case 3 3</v>
      </c>
      <c r="B61" s="10" t="s">
        <v>58</v>
      </c>
      <c r="C61" s="34">
        <f>'Coal C3'!D$6</f>
        <v>5.9057752142209745</v>
      </c>
      <c r="D61" s="34">
        <f>'Coal C3'!C$20</f>
        <v>1.3045009265142857</v>
      </c>
      <c r="E61" s="35"/>
      <c r="F61" s="36">
        <f>SUM(C61:E61)</f>
        <v>7.2102761407352602</v>
      </c>
      <c r="G61" s="36"/>
      <c r="H61" s="10" t="s">
        <v>58</v>
      </c>
      <c r="I61" s="34">
        <f>'Coal C3'!E$6</f>
        <v>14.272290101034022</v>
      </c>
      <c r="J61" s="34">
        <f>'Coal C3'!C$20</f>
        <v>1.3045009265142857</v>
      </c>
      <c r="K61" s="35"/>
      <c r="L61" s="36">
        <f>SUM(I61:K61)</f>
        <v>15.576791027548307</v>
      </c>
      <c r="N61" s="10" t="s">
        <v>58</v>
      </c>
      <c r="O61" s="151">
        <f>C61/Conversions!B$7</f>
        <v>0.16404931150613819</v>
      </c>
    </row>
    <row r="62" spans="1:15" ht="34" x14ac:dyDescent="0.2">
      <c r="A62" s="275"/>
      <c r="B62" s="10" t="s">
        <v>162</v>
      </c>
      <c r="C62" s="35"/>
      <c r="D62" s="34">
        <f>IF('Coal Parameters'!$D$6="Yes",'Coal C3'!C$33,0)</f>
        <v>16.961337107939038</v>
      </c>
      <c r="E62" s="35"/>
      <c r="F62" s="36">
        <f t="shared" ref="F62:F64" si="33">SUM(C62:E62)</f>
        <v>16.961337107939038</v>
      </c>
      <c r="G62" s="36"/>
      <c r="H62" s="10" t="s">
        <v>162</v>
      </c>
      <c r="I62" s="35"/>
      <c r="J62" s="34">
        <f>IF('Coal Parameters'!$D$6="Yes",'Coal C3'!C$33,0)</f>
        <v>16.961337107939038</v>
      </c>
      <c r="K62" s="35"/>
      <c r="L62" s="36">
        <f t="shared" ref="L62:L64" si="34">SUM(I62:K62)</f>
        <v>16.961337107939038</v>
      </c>
      <c r="N62" s="10" t="s">
        <v>162</v>
      </c>
      <c r="O62" s="35"/>
    </row>
    <row r="63" spans="1:15" ht="34" x14ac:dyDescent="0.2">
      <c r="A63" s="275"/>
      <c r="B63" s="10" t="s">
        <v>163</v>
      </c>
      <c r="C63" s="35"/>
      <c r="D63" s="34">
        <f>IF('Coal Parameters'!$D$9="Yes",'Coal C3'!C$46,0)</f>
        <v>0</v>
      </c>
      <c r="E63" s="35"/>
      <c r="F63" s="36">
        <f t="shared" si="33"/>
        <v>0</v>
      </c>
      <c r="G63" s="36"/>
      <c r="H63" s="10" t="s">
        <v>163</v>
      </c>
      <c r="I63" s="35"/>
      <c r="J63" s="34">
        <f>IF('Coal Parameters'!$D$9="Yes",'Coal C3'!C$46,0)</f>
        <v>0</v>
      </c>
      <c r="K63" s="35"/>
      <c r="L63" s="36">
        <f t="shared" si="34"/>
        <v>0</v>
      </c>
      <c r="N63" s="10" t="s">
        <v>163</v>
      </c>
      <c r="O63" s="35"/>
    </row>
    <row r="64" spans="1:15" ht="17" x14ac:dyDescent="0.2">
      <c r="A64" s="275"/>
      <c r="B64" s="10" t="s">
        <v>59</v>
      </c>
      <c r="C64" s="35"/>
      <c r="D64" s="35"/>
      <c r="E64" s="34">
        <f>'Coal C3'!C$63</f>
        <v>1013.6426666666665</v>
      </c>
      <c r="F64" s="36">
        <f t="shared" si="33"/>
        <v>1013.6426666666665</v>
      </c>
      <c r="G64" s="36"/>
      <c r="H64" s="16"/>
      <c r="I64" s="35"/>
      <c r="J64" s="35"/>
      <c r="K64" s="34">
        <f>'Coal C3'!C$63</f>
        <v>1013.6426666666665</v>
      </c>
      <c r="L64" s="36">
        <f t="shared" si="34"/>
        <v>1013.6426666666665</v>
      </c>
      <c r="N64" s="10" t="s">
        <v>59</v>
      </c>
      <c r="O64" s="35"/>
    </row>
    <row r="65" spans="3:15" x14ac:dyDescent="0.2">
      <c r="C65" s="16">
        <f>SUM(C61:C64)</f>
        <v>5.9057752142209745</v>
      </c>
      <c r="D65" s="16">
        <f t="shared" ref="D65:F65" si="35">SUM(D61:D64)</f>
        <v>18.265838034453324</v>
      </c>
      <c r="E65" s="16">
        <f t="shared" si="35"/>
        <v>1013.6426666666665</v>
      </c>
      <c r="F65" s="16">
        <f t="shared" si="35"/>
        <v>1037.8142799153409</v>
      </c>
      <c r="G65" s="16"/>
      <c r="H65" s="16"/>
      <c r="I65" s="16">
        <f>SUM(I61:I64)</f>
        <v>14.272290101034022</v>
      </c>
      <c r="J65" s="16">
        <f t="shared" ref="J65:L65" si="36">SUM(J61:J64)</f>
        <v>18.265838034453324</v>
      </c>
      <c r="K65" s="16">
        <f t="shared" si="36"/>
        <v>1013.6426666666665</v>
      </c>
      <c r="L65" s="16">
        <f t="shared" si="36"/>
        <v>1046.1807948021537</v>
      </c>
      <c r="O65" s="153">
        <f>SUM(O61:O64)</f>
        <v>0.16404931150613819</v>
      </c>
    </row>
  </sheetData>
  <mergeCells count="9">
    <mergeCell ref="A53:A56"/>
    <mergeCell ref="A61:A64"/>
    <mergeCell ref="A11:A14"/>
    <mergeCell ref="A4:A7"/>
    <mergeCell ref="A46:A49"/>
    <mergeCell ref="A25:A28"/>
    <mergeCell ref="A39:A42"/>
    <mergeCell ref="A32:A35"/>
    <mergeCell ref="A18:A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0322-3519-0743-8F0E-338D0BE6C49E}">
  <sheetPr codeName="Sheet4"/>
  <dimension ref="A1:D11"/>
  <sheetViews>
    <sheetView workbookViewId="0">
      <selection activeCell="E19" sqref="E19"/>
    </sheetView>
  </sheetViews>
  <sheetFormatPr baseColWidth="10" defaultColWidth="11.1640625" defaultRowHeight="16" x14ac:dyDescent="0.2"/>
  <cols>
    <col min="1" max="1" width="40.33203125" bestFit="1" customWidth="1"/>
    <col min="3" max="3" width="20.1640625" customWidth="1"/>
  </cols>
  <sheetData>
    <row r="1" spans="1:4" x14ac:dyDescent="0.2">
      <c r="A1" s="1"/>
      <c r="B1" s="1" t="s">
        <v>1</v>
      </c>
      <c r="C1" s="1" t="s">
        <v>2</v>
      </c>
    </row>
    <row r="2" spans="1:4" x14ac:dyDescent="0.2">
      <c r="A2" s="5" t="s">
        <v>190</v>
      </c>
      <c r="B2" s="99">
        <v>51505.644797356501</v>
      </c>
      <c r="C2" s="21" t="s">
        <v>101</v>
      </c>
    </row>
    <row r="3" spans="1:4" x14ac:dyDescent="0.2">
      <c r="A3" s="5" t="s">
        <v>191</v>
      </c>
      <c r="B3" s="99">
        <v>35.31</v>
      </c>
      <c r="C3" s="21" t="s">
        <v>112</v>
      </c>
    </row>
    <row r="4" spans="1:4" x14ac:dyDescent="0.2">
      <c r="A4" s="19" t="s">
        <v>155</v>
      </c>
      <c r="B4" s="98">
        <v>600</v>
      </c>
      <c r="C4" s="23" t="s">
        <v>113</v>
      </c>
    </row>
    <row r="5" spans="1:4" x14ac:dyDescent="0.2">
      <c r="A5" s="9" t="s">
        <v>126</v>
      </c>
      <c r="B5" s="128">
        <f>44/12</f>
        <v>3.6666666666666665</v>
      </c>
      <c r="C5" s="4" t="s">
        <v>116</v>
      </c>
    </row>
    <row r="6" spans="1:4" x14ac:dyDescent="0.2">
      <c r="A6" s="266" t="s">
        <v>187</v>
      </c>
      <c r="B6" s="267">
        <v>87</v>
      </c>
      <c r="C6" s="268"/>
    </row>
    <row r="7" spans="1:4" x14ac:dyDescent="0.2">
      <c r="A7" s="266" t="s">
        <v>188</v>
      </c>
      <c r="B7" s="267">
        <v>36</v>
      </c>
      <c r="C7" s="268"/>
      <c r="D7" t="s">
        <v>229</v>
      </c>
    </row>
    <row r="8" spans="1:4" x14ac:dyDescent="0.2">
      <c r="A8" s="20" t="s">
        <v>196</v>
      </c>
      <c r="B8" s="134">
        <v>9.4799999999999995E-4</v>
      </c>
      <c r="C8" s="135" t="s">
        <v>203</v>
      </c>
    </row>
    <row r="9" spans="1:4" x14ac:dyDescent="0.2">
      <c r="A9" s="184" t="s">
        <v>177</v>
      </c>
      <c r="B9" s="185">
        <v>14.43</v>
      </c>
      <c r="C9" s="4" t="s">
        <v>69</v>
      </c>
      <c r="D9" s="97" t="s">
        <v>70</v>
      </c>
    </row>
    <row r="10" spans="1:4" x14ac:dyDescent="0.2">
      <c r="A10" s="184" t="s">
        <v>175</v>
      </c>
      <c r="B10">
        <v>26.08</v>
      </c>
      <c r="C10" s="186" t="s">
        <v>69</v>
      </c>
      <c r="D10" s="187" t="s">
        <v>70</v>
      </c>
    </row>
    <row r="11" spans="1:4" x14ac:dyDescent="0.2">
      <c r="A11" s="18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A2489-46B4-DD45-861E-5AD9F02A139D}">
  <sheetPr codeName="Sheet7"/>
  <dimension ref="A1:P262"/>
  <sheetViews>
    <sheetView topLeftCell="B1" zoomScaleNormal="79" workbookViewId="0">
      <selection activeCell="C6" sqref="C6"/>
    </sheetView>
  </sheetViews>
  <sheetFormatPr baseColWidth="10" defaultColWidth="31.83203125" defaultRowHeight="15" x14ac:dyDescent="0.2"/>
  <cols>
    <col min="1" max="1" width="21.5" style="2" customWidth="1"/>
    <col min="2" max="2" width="41.5" style="2" bestFit="1" customWidth="1"/>
    <col min="3" max="3" width="27.1640625" style="2" customWidth="1"/>
    <col min="4" max="4" width="19.33203125" style="2" customWidth="1"/>
    <col min="5" max="5" width="31.83203125" style="2"/>
    <col min="6" max="6" width="14.1640625" style="2" customWidth="1"/>
    <col min="7" max="8" width="18.6640625" style="2" customWidth="1"/>
    <col min="9" max="9" width="24.83203125" style="2" customWidth="1"/>
    <col min="10" max="10" width="23.5" style="2" customWidth="1"/>
    <col min="11" max="11" width="14.1640625" style="2" customWidth="1"/>
    <col min="12"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Parameters'!$B$44="No",F4,I4)</f>
        <v>324.86223582840944</v>
      </c>
      <c r="D4" s="45">
        <f>IF('NG Parameters'!$B$44="No",G4,J4)</f>
        <v>11695.040489822739</v>
      </c>
      <c r="E4" s="45">
        <f>IF('NG Parameters'!$B$44="No",H4,K4)</f>
        <v>28263.014517071621</v>
      </c>
      <c r="F4" s="148">
        <f>C9/C11*C12/C10*10^12</f>
        <v>324.86223582840944</v>
      </c>
      <c r="G4" s="148">
        <f>F4*Conversions!$B$7</f>
        <v>11695.040489822739</v>
      </c>
      <c r="H4" s="148">
        <f>F4*Conversions!$B$6</f>
        <v>28263.014517071621</v>
      </c>
      <c r="I4" s="148">
        <f>F4*(1+'NG Parameters'!$B$45/100)</f>
        <v>357.34845941125042</v>
      </c>
      <c r="J4" s="148">
        <f>G4*(1+'NG Parameters'!$B$45/100)</f>
        <v>12864.544538805014</v>
      </c>
      <c r="K4" s="148">
        <f>H4*(1+'NG Parameters'!$B$45/100)</f>
        <v>31089.315968778785</v>
      </c>
    </row>
    <row r="5" spans="1:11" x14ac:dyDescent="0.2">
      <c r="B5" s="43" t="s">
        <v>50</v>
      </c>
      <c r="C5" s="45">
        <f>IF('NG Parameters'!$B$44="No",F5,I5)</f>
        <v>0.30796939956533215</v>
      </c>
      <c r="D5" s="45">
        <f>IF('NG Parameters'!$B$44="No",G5,J5)</f>
        <v>11.086898384351958</v>
      </c>
      <c r="E5" s="45">
        <f>IF('NG Parameters'!$B$44="No",H5,K5)</f>
        <v>26.793337762183896</v>
      </c>
      <c r="F5" s="148">
        <f>F4*Conversions!$B$8</f>
        <v>0.30796939956533215</v>
      </c>
      <c r="G5" s="148">
        <f>F5*Conversions!$B$7</f>
        <v>11.086898384351958</v>
      </c>
      <c r="H5" s="148">
        <f>F5*Conversions!$B$6</f>
        <v>26.793337762183896</v>
      </c>
      <c r="I5" s="148">
        <f>F5*(1+'NG Parameters'!$B$45/100)</f>
        <v>0.33876633952186541</v>
      </c>
      <c r="J5" s="148">
        <f>G5*(1+'NG Parameters'!$B$45/100)</f>
        <v>12.195588222787155</v>
      </c>
      <c r="K5" s="148">
        <f>H5*(1+'NG Parameters'!$B$45/100)</f>
        <v>29.472671538402288</v>
      </c>
    </row>
    <row r="6" spans="1:11" x14ac:dyDescent="0.2">
      <c r="B6" s="43" t="s">
        <v>51</v>
      </c>
      <c r="C6" s="45">
        <f>IF('NG Parameters'!$B$44="No",F6,I6)</f>
        <v>2.3714943215473889</v>
      </c>
      <c r="D6" s="45">
        <f>IF('NG Parameters'!$B$44="No",G6,J6)</f>
        <v>85.373795575705998</v>
      </c>
      <c r="E6" s="45">
        <f>IF('NG Parameters'!$B$44="No",H6,K6)</f>
        <v>206.32000597462283</v>
      </c>
      <c r="F6" s="148">
        <f>F4*C$8/10^6</f>
        <v>2.3714943215473889</v>
      </c>
      <c r="G6" s="148">
        <f>F6*Conversions!$B$7</f>
        <v>85.373795575705998</v>
      </c>
      <c r="H6" s="148">
        <f>F6*Conversions!$B$6</f>
        <v>206.32000597462283</v>
      </c>
      <c r="I6" s="148">
        <f>F6*(1+'NG Parameters'!$B$45/100)</f>
        <v>2.6086437537021281</v>
      </c>
      <c r="J6" s="148">
        <f>G6*(1+'NG Parameters'!$B$45/100)</f>
        <v>93.9111751332766</v>
      </c>
      <c r="K6" s="148">
        <f>H6*(1+'NG Parameters'!$B$45/100)</f>
        <v>226.95200657208514</v>
      </c>
    </row>
    <row r="7" spans="1:11" x14ac:dyDescent="0.2">
      <c r="B7" s="46"/>
      <c r="C7" s="47"/>
    </row>
    <row r="8" spans="1:11" ht="16" x14ac:dyDescent="0.2">
      <c r="B8" s="9" t="s">
        <v>44</v>
      </c>
      <c r="C8" s="104">
        <f>'NG Parameters'!B$42</f>
        <v>7300</v>
      </c>
      <c r="D8" s="26" t="s">
        <v>45</v>
      </c>
    </row>
    <row r="9" spans="1:11" x14ac:dyDescent="0.2">
      <c r="B9" s="27" t="s">
        <v>218</v>
      </c>
      <c r="C9" s="49">
        <f>'NG Parameters'!B4/100</f>
        <v>1.8264559754672928E-2</v>
      </c>
      <c r="D9" s="27"/>
    </row>
    <row r="10" spans="1:11" x14ac:dyDescent="0.2">
      <c r="B10" s="27" t="s">
        <v>24</v>
      </c>
      <c r="C10" s="50">
        <f>'NG Parameters'!B$43</f>
        <v>1037</v>
      </c>
      <c r="D10" s="26" t="s">
        <v>25</v>
      </c>
    </row>
    <row r="11" spans="1:11" ht="16" x14ac:dyDescent="0.2">
      <c r="B11" s="5" t="s">
        <v>100</v>
      </c>
      <c r="C11" s="103">
        <f>Conversions!B$2</f>
        <v>51505.644797356501</v>
      </c>
      <c r="D11" s="120" t="s">
        <v>101</v>
      </c>
    </row>
    <row r="12" spans="1:11" x14ac:dyDescent="0.2">
      <c r="B12" s="27" t="s">
        <v>224</v>
      </c>
      <c r="C12" s="51">
        <f>'NG Parameters'!B52/100</f>
        <v>0.95</v>
      </c>
      <c r="D12" s="27"/>
    </row>
    <row r="13" spans="1:11" x14ac:dyDescent="0.2">
      <c r="B13" s="25"/>
      <c r="C13" s="52"/>
      <c r="D13" s="22"/>
    </row>
    <row r="14" spans="1:11" ht="16" x14ac:dyDescent="0.2">
      <c r="B14" s="27" t="s">
        <v>186</v>
      </c>
      <c r="C14" s="52"/>
      <c r="D14" s="22"/>
      <c r="G14" s="165" t="s">
        <v>396</v>
      </c>
      <c r="H14" s="230" t="s">
        <v>397</v>
      </c>
    </row>
    <row r="15" spans="1:11" x14ac:dyDescent="0.2">
      <c r="C15" s="53" t="s">
        <v>21</v>
      </c>
      <c r="D15" s="53" t="s">
        <v>18</v>
      </c>
      <c r="F15" s="80"/>
      <c r="G15" s="165" t="s">
        <v>278</v>
      </c>
      <c r="H15" s="165" t="s">
        <v>389</v>
      </c>
      <c r="I15" s="165" t="s">
        <v>279</v>
      </c>
    </row>
    <row r="16" spans="1:11" x14ac:dyDescent="0.2">
      <c r="B16" s="80" t="s">
        <v>22</v>
      </c>
      <c r="C16" s="80"/>
      <c r="D16" s="229" t="s">
        <v>389</v>
      </c>
      <c r="E16" s="3" t="s">
        <v>166</v>
      </c>
      <c r="J16" s="165"/>
      <c r="K16" s="165"/>
    </row>
    <row r="17" spans="2:12" ht="16" x14ac:dyDescent="0.2">
      <c r="B17" s="55" t="s">
        <v>39</v>
      </c>
      <c r="C17" s="226">
        <f>SUM(C18:C19)*E17</f>
        <v>1.980615</v>
      </c>
      <c r="D17" s="226">
        <f>HLOOKUP(D16,G15:I21,3,FALSE)*E17</f>
        <v>4.5599999999999996</v>
      </c>
      <c r="E17" s="119">
        <f>'NG Parameters'!B$5/100</f>
        <v>0.6</v>
      </c>
      <c r="G17" s="2">
        <v>6</v>
      </c>
      <c r="H17" s="2">
        <v>7.6</v>
      </c>
      <c r="I17" s="165">
        <v>9.6</v>
      </c>
      <c r="J17"/>
      <c r="K17" s="62"/>
      <c r="L17" s="165"/>
    </row>
    <row r="18" spans="2:12" x14ac:dyDescent="0.2">
      <c r="B18" s="55" t="s">
        <v>7</v>
      </c>
      <c r="C18" s="226">
        <v>1.891548</v>
      </c>
      <c r="D18" s="226"/>
      <c r="E18" s="118"/>
      <c r="H18" s="165"/>
      <c r="I18" s="62"/>
      <c r="J18" s="62"/>
      <c r="K18" s="62"/>
      <c r="L18" s="165"/>
    </row>
    <row r="19" spans="2:12" x14ac:dyDescent="0.2">
      <c r="B19" s="55" t="s">
        <v>4</v>
      </c>
      <c r="C19" s="226">
        <v>1.4094770000000001</v>
      </c>
      <c r="D19" s="226"/>
      <c r="E19" s="139"/>
      <c r="I19" s="62"/>
      <c r="J19" s="62"/>
      <c r="K19" s="62"/>
    </row>
    <row r="20" spans="2:12" x14ac:dyDescent="0.2">
      <c r="B20" s="55" t="s">
        <v>19</v>
      </c>
      <c r="C20" s="226">
        <v>1.390566</v>
      </c>
      <c r="D20" s="226">
        <f>HLOOKUP(D16,G15:I21,6,FALSE)</f>
        <v>2.6</v>
      </c>
      <c r="E20" s="3"/>
      <c r="G20" s="2">
        <v>2.4</v>
      </c>
      <c r="H20" s="165">
        <v>2.6</v>
      </c>
      <c r="I20" s="62">
        <v>3.2</v>
      </c>
      <c r="J20" s="62"/>
      <c r="K20" s="62"/>
    </row>
    <row r="21" spans="2:12" x14ac:dyDescent="0.2">
      <c r="B21" s="55" t="s">
        <v>20</v>
      </c>
      <c r="C21" s="226">
        <v>0.48785400000000001</v>
      </c>
      <c r="D21" s="226">
        <f>HLOOKUP(D16,G15:I21,7,FALSE)</f>
        <v>0.72</v>
      </c>
      <c r="G21" s="56">
        <v>0.65</v>
      </c>
      <c r="H21" s="47">
        <v>0.72</v>
      </c>
      <c r="I21" s="56">
        <v>0.92</v>
      </c>
      <c r="J21" s="214"/>
      <c r="K21" s="214"/>
    </row>
    <row r="22" spans="2:12" x14ac:dyDescent="0.2">
      <c r="B22" s="55" t="s">
        <v>23</v>
      </c>
      <c r="C22" s="226">
        <f>SUM(C17,C20:C21)</f>
        <v>3.859035</v>
      </c>
      <c r="D22" s="226">
        <f>SUM(D17,D20:D21)</f>
        <v>7.88</v>
      </c>
      <c r="G22" s="226">
        <f>SUM(G17,G20:G21)</f>
        <v>9.0500000000000007</v>
      </c>
      <c r="H22" s="226">
        <f t="shared" ref="H22:I22" si="0">SUM(H17,H20:H21)</f>
        <v>10.92</v>
      </c>
      <c r="I22" s="226">
        <f t="shared" si="0"/>
        <v>13.72</v>
      </c>
      <c r="J22" s="215"/>
      <c r="K22" s="215"/>
    </row>
    <row r="23" spans="2:12" x14ac:dyDescent="0.2">
      <c r="B23" s="55"/>
      <c r="C23" s="47"/>
      <c r="D23" s="47"/>
    </row>
    <row r="24" spans="2:12" x14ac:dyDescent="0.2">
      <c r="B24" s="80" t="s">
        <v>38</v>
      </c>
      <c r="C24" s="80"/>
      <c r="D24" s="80"/>
      <c r="E24" s="118" t="s">
        <v>167</v>
      </c>
    </row>
    <row r="25" spans="2:12" x14ac:dyDescent="0.2">
      <c r="B25" s="55" t="s">
        <v>39</v>
      </c>
      <c r="C25" s="47">
        <f>C17*C$11/10^3/E25</f>
        <v>122.90705141001958</v>
      </c>
      <c r="D25" s="47">
        <f>D17*C$11/10^3/E25</f>
        <v>282.97077141680199</v>
      </c>
      <c r="E25" s="119">
        <f>'NG Parameters'!B47/100</f>
        <v>0.83</v>
      </c>
    </row>
    <row r="26" spans="2:12" x14ac:dyDescent="0.2">
      <c r="B26" s="55" t="s">
        <v>7</v>
      </c>
      <c r="C26" s="47"/>
      <c r="D26" s="122"/>
      <c r="E26" s="119">
        <f>'NG Parameters'!B47/100</f>
        <v>0.83</v>
      </c>
      <c r="I26" s="165"/>
      <c r="K26" s="165"/>
    </row>
    <row r="27" spans="2:12" ht="16" x14ac:dyDescent="0.2">
      <c r="B27" s="55" t="s">
        <v>40</v>
      </c>
      <c r="C27" s="47"/>
      <c r="D27" s="122"/>
      <c r="E27" s="119">
        <f>'NG Parameters'!B48/100</f>
        <v>0.83</v>
      </c>
      <c r="H27" s="165"/>
      <c r="I27" s="219"/>
      <c r="L27" s="228"/>
    </row>
    <row r="28" spans="2:12" ht="16" x14ac:dyDescent="0.2">
      <c r="B28" s="55" t="s">
        <v>19</v>
      </c>
      <c r="C28" s="47">
        <f>C20*C$11/10^3/E28</f>
        <v>86.291564413591374</v>
      </c>
      <c r="D28" s="47">
        <f>D20*C$11/10^3/E28</f>
        <v>161.34298370256255</v>
      </c>
      <c r="E28" s="119">
        <f>'NG Parameters'!B47/100</f>
        <v>0.83</v>
      </c>
      <c r="H28" s="165"/>
      <c r="K28" s="134"/>
      <c r="L28" s="228"/>
    </row>
    <row r="29" spans="2:12" x14ac:dyDescent="0.2">
      <c r="B29" s="55" t="s">
        <v>20</v>
      </c>
      <c r="C29" s="47">
        <f>C21*C$11/10^3/E29</f>
        <v>30.273776912011517</v>
      </c>
      <c r="D29" s="47">
        <f>D21*C$11/10^3/E29</f>
        <v>44.679595486863477</v>
      </c>
      <c r="E29" s="119">
        <f>'NG Parameters'!B49/100</f>
        <v>0.83</v>
      </c>
      <c r="H29" s="165"/>
      <c r="I29" s="219"/>
      <c r="J29" s="136"/>
    </row>
    <row r="30" spans="2:12" x14ac:dyDescent="0.2">
      <c r="B30" s="55" t="s">
        <v>23</v>
      </c>
      <c r="C30" s="47">
        <f>SUM(C25:C29)</f>
        <v>239.47239273562249</v>
      </c>
      <c r="D30" s="47">
        <f>SUM(D25:D29)</f>
        <v>488.99335060622803</v>
      </c>
      <c r="I30" s="60"/>
    </row>
    <row r="31" spans="2:12" ht="16" x14ac:dyDescent="0.2">
      <c r="B31" s="80"/>
      <c r="C31" s="47"/>
      <c r="D31" s="217"/>
      <c r="I31" s="174"/>
    </row>
    <row r="32" spans="2:12" x14ac:dyDescent="0.2">
      <c r="B32" s="55" t="s">
        <v>192</v>
      </c>
      <c r="C32" s="65"/>
      <c r="D32" s="65"/>
      <c r="F32" s="132" t="s">
        <v>390</v>
      </c>
      <c r="G32" s="181" t="s">
        <v>391</v>
      </c>
      <c r="H32" s="181" t="s">
        <v>392</v>
      </c>
      <c r="I32" s="132" t="s">
        <v>393</v>
      </c>
      <c r="J32" s="181" t="s">
        <v>394</v>
      </c>
      <c r="K32" s="181" t="s">
        <v>395</v>
      </c>
    </row>
    <row r="33" spans="2:11" x14ac:dyDescent="0.2">
      <c r="B33" s="55" t="s">
        <v>39</v>
      </c>
      <c r="C33" s="83">
        <f>C25/$C$52</f>
        <v>3.942361409248858E-3</v>
      </c>
      <c r="D33" s="83">
        <f>D25/$D$52</f>
        <v>1.0569339147374179E-2</v>
      </c>
      <c r="E33" s="193"/>
      <c r="F33" s="47">
        <f>D33/C$11*C$12/C$10*10^12</f>
        <v>187.9913445910592</v>
      </c>
      <c r="G33" s="47">
        <f>F33*Conversions!$B$7</f>
        <v>6767.6884052781315</v>
      </c>
      <c r="H33" s="47">
        <f>F33*Conversions!$B$6</f>
        <v>16355.246979422151</v>
      </c>
      <c r="I33" s="47">
        <f>F33*Conversions!$B$8</f>
        <v>0.17821579467232412</v>
      </c>
      <c r="J33" s="47">
        <f>I33*Conversions!$B$7</f>
        <v>6.4157686082036687</v>
      </c>
      <c r="K33" s="47">
        <f>I33*Conversions!$B$6</f>
        <v>15.504774136492198</v>
      </c>
    </row>
    <row r="34" spans="2:11" x14ac:dyDescent="0.2">
      <c r="B34" s="55" t="s">
        <v>7</v>
      </c>
      <c r="C34" s="83"/>
      <c r="D34" s="83"/>
      <c r="F34" s="47">
        <f t="shared" ref="F34:F38" si="1">D34/C$11*C$12/C$10*10^12</f>
        <v>0</v>
      </c>
      <c r="G34" s="47">
        <f>F34*Conversions!$B$7</f>
        <v>0</v>
      </c>
      <c r="H34" s="47">
        <f>F34*Conversions!$B$6</f>
        <v>0</v>
      </c>
      <c r="I34" s="47">
        <f>F34*Conversions!$B$8</f>
        <v>0</v>
      </c>
      <c r="J34" s="47">
        <f>I34*Conversions!$B$7</f>
        <v>0</v>
      </c>
      <c r="K34" s="47">
        <f>I34*Conversions!$B$6</f>
        <v>0</v>
      </c>
    </row>
    <row r="35" spans="2:11" x14ac:dyDescent="0.2">
      <c r="B35" s="55" t="s">
        <v>40</v>
      </c>
      <c r="C35" s="83"/>
      <c r="D35" s="83"/>
      <c r="F35" s="47">
        <f t="shared" si="1"/>
        <v>0</v>
      </c>
      <c r="G35" s="47">
        <f>F35*Conversions!$B$7</f>
        <v>0</v>
      </c>
      <c r="H35" s="47">
        <f>F35*Conversions!$B$6</f>
        <v>0</v>
      </c>
      <c r="I35" s="47">
        <f>F35*Conversions!$B$8</f>
        <v>0</v>
      </c>
      <c r="J35" s="47">
        <f>I35*Conversions!$B$7</f>
        <v>0</v>
      </c>
      <c r="K35" s="47">
        <f>I35*Conversions!$B$6</f>
        <v>0</v>
      </c>
    </row>
    <row r="36" spans="2:11" x14ac:dyDescent="0.2">
      <c r="B36" s="55" t="s">
        <v>19</v>
      </c>
      <c r="C36" s="83">
        <f>C28/$C$52</f>
        <v>2.7678845890864944E-3</v>
      </c>
      <c r="D36" s="83">
        <f>D28/$D$52</f>
        <v>6.0263775840291378E-3</v>
      </c>
      <c r="F36" s="47">
        <f t="shared" si="1"/>
        <v>107.18804735455132</v>
      </c>
      <c r="G36" s="47">
        <f>F36*Conversions!$B$7</f>
        <v>3858.7697047638476</v>
      </c>
      <c r="H36" s="47">
        <f>F36*Conversions!$B$6</f>
        <v>9325.3601198459637</v>
      </c>
      <c r="I36" s="47">
        <f>F36*Conversions!$B$8</f>
        <v>0.10161426889211464</v>
      </c>
      <c r="J36" s="47">
        <f>I36*Conversions!$B$7</f>
        <v>3.6581136801161271</v>
      </c>
      <c r="K36" s="47">
        <f>I36*Conversions!$B$6</f>
        <v>8.8404413936139736</v>
      </c>
    </row>
    <row r="37" spans="2:11" x14ac:dyDescent="0.2">
      <c r="B37" s="55" t="s">
        <v>20</v>
      </c>
      <c r="C37" s="83">
        <f>C29/$C$52</f>
        <v>9.7106039434604523E-4</v>
      </c>
      <c r="D37" s="83">
        <f>D29/$D$52</f>
        <v>1.6688430232696075E-3</v>
      </c>
      <c r="F37" s="47">
        <f t="shared" si="1"/>
        <v>29.682843882798828</v>
      </c>
      <c r="G37" s="47">
        <f>F37*Conversions!$B$7</f>
        <v>1068.5823797807577</v>
      </c>
      <c r="H37" s="47">
        <f>F37*Conversions!$B$6</f>
        <v>2582.407417803498</v>
      </c>
      <c r="I37" s="47">
        <f>F37*Conversions!$B$8</f>
        <v>2.8139336000893286E-2</v>
      </c>
      <c r="J37" s="47">
        <f>I37*Conversions!$B$7</f>
        <v>1.0130160960321584</v>
      </c>
      <c r="K37" s="47">
        <f>I37*Conversions!$B$6</f>
        <v>2.4481222320777158</v>
      </c>
    </row>
    <row r="38" spans="2:11" x14ac:dyDescent="0.2">
      <c r="B38" s="55" t="s">
        <v>23</v>
      </c>
      <c r="C38" s="83">
        <f>C30/$C$52</f>
        <v>7.6813063926813984E-3</v>
      </c>
      <c r="D38" s="83">
        <f>D30/$D$52</f>
        <v>1.8264559754672928E-2</v>
      </c>
      <c r="F38" s="47">
        <f t="shared" si="1"/>
        <v>324.86223582840944</v>
      </c>
      <c r="G38" s="47">
        <f>F38*Conversions!$B$7</f>
        <v>11695.040489822739</v>
      </c>
      <c r="H38" s="47">
        <f>F38*Conversions!$B$6</f>
        <v>28263.014517071621</v>
      </c>
      <c r="I38" s="47">
        <f>F38*Conversions!$B$8</f>
        <v>0.30796939956533215</v>
      </c>
      <c r="J38" s="47">
        <f>I38*Conversions!$B$7</f>
        <v>11.086898384351958</v>
      </c>
      <c r="K38" s="47">
        <f>I38*Conversions!$B$6</f>
        <v>26.793337762183896</v>
      </c>
    </row>
    <row r="40" spans="2:11" x14ac:dyDescent="0.2">
      <c r="B40" s="55" t="s">
        <v>193</v>
      </c>
      <c r="C40" s="65"/>
      <c r="D40" s="65"/>
    </row>
    <row r="41" spans="2:11" x14ac:dyDescent="0.2">
      <c r="B41" s="55" t="s">
        <v>39</v>
      </c>
      <c r="C41" s="83">
        <f>C25/$C$48</f>
        <v>3.2928406314512854E-3</v>
      </c>
      <c r="D41" s="83">
        <f>D25/$D$48</f>
        <v>8.5971078898947947E-3</v>
      </c>
    </row>
    <row r="42" spans="2:11" x14ac:dyDescent="0.2">
      <c r="B42" s="55" t="s">
        <v>7</v>
      </c>
      <c r="C42" s="83"/>
      <c r="D42" s="83"/>
    </row>
    <row r="43" spans="2:11" x14ac:dyDescent="0.2">
      <c r="B43" s="55" t="s">
        <v>40</v>
      </c>
      <c r="C43" s="83"/>
      <c r="D43" s="83"/>
    </row>
    <row r="44" spans="2:11" x14ac:dyDescent="0.2">
      <c r="B44" s="55" t="s">
        <v>19</v>
      </c>
      <c r="C44" s="83">
        <f t="shared" ref="C44:C45" si="2">C28/$C$48</f>
        <v>2.3118638531540395E-3</v>
      </c>
      <c r="D44" s="83">
        <f t="shared" ref="D44:D45" si="3">D28/$D$48</f>
        <v>4.9018597617821198E-3</v>
      </c>
    </row>
    <row r="45" spans="2:11" x14ac:dyDescent="0.2">
      <c r="B45" s="55" t="s">
        <v>20</v>
      </c>
      <c r="C45" s="83">
        <f t="shared" si="2"/>
        <v>8.1107407215235447E-4</v>
      </c>
      <c r="D45" s="83">
        <f t="shared" si="3"/>
        <v>1.3574380878781254E-3</v>
      </c>
    </row>
    <row r="46" spans="2:11" x14ac:dyDescent="0.2">
      <c r="B46" s="55" t="s">
        <v>23</v>
      </c>
      <c r="C46" s="83">
        <f>C30/$C$48</f>
        <v>6.4157785567576803E-3</v>
      </c>
      <c r="D46" s="83">
        <f>D30/$D$48</f>
        <v>1.485640573955504E-2</v>
      </c>
      <c r="E46" s="131"/>
    </row>
    <row r="47" spans="2:11" x14ac:dyDescent="0.2">
      <c r="B47" s="55"/>
      <c r="C47" s="83"/>
      <c r="D47" s="83"/>
    </row>
    <row r="48" spans="2:11" x14ac:dyDescent="0.2">
      <c r="B48" s="46" t="s">
        <v>29</v>
      </c>
      <c r="C48" s="60">
        <v>37325.538999999997</v>
      </c>
      <c r="D48" s="60">
        <v>32914.646999999997</v>
      </c>
      <c r="E48" s="61" t="s">
        <v>32</v>
      </c>
    </row>
    <row r="50" spans="1:5" x14ac:dyDescent="0.2">
      <c r="B50" s="46" t="s">
        <v>26</v>
      </c>
      <c r="C50" s="62">
        <v>27568.156999999999</v>
      </c>
      <c r="D50" s="60">
        <v>24989.285</v>
      </c>
      <c r="E50" s="61" t="s">
        <v>30</v>
      </c>
    </row>
    <row r="51" spans="1:5" x14ac:dyDescent="0.2">
      <c r="B51" s="46" t="s">
        <v>27</v>
      </c>
      <c r="C51" s="62">
        <v>3607.8409999999999</v>
      </c>
      <c r="D51" s="62">
        <v>1783.5119999999999</v>
      </c>
      <c r="E51" s="61" t="s">
        <v>31</v>
      </c>
    </row>
    <row r="52" spans="1:5" x14ac:dyDescent="0.2">
      <c r="B52" s="46" t="s">
        <v>28</v>
      </c>
      <c r="C52" s="62">
        <v>31175.998</v>
      </c>
      <c r="D52" s="62">
        <v>26772.796999999999</v>
      </c>
    </row>
    <row r="53" spans="1:5" x14ac:dyDescent="0.2">
      <c r="B53" s="46" t="s">
        <v>205</v>
      </c>
      <c r="C53" s="136">
        <f>C52/C48</f>
        <v>0.83524575492399455</v>
      </c>
      <c r="D53" s="136">
        <f>D52/D48</f>
        <v>0.81340070273273779</v>
      </c>
    </row>
    <row r="54" spans="1:5" x14ac:dyDescent="0.2">
      <c r="B54" s="46" t="s">
        <v>41</v>
      </c>
      <c r="C54" s="60">
        <f>C52*C10*10^3</f>
        <v>32329509926</v>
      </c>
      <c r="D54" s="60">
        <f>D52*C10*10^3</f>
        <v>27763390489</v>
      </c>
    </row>
    <row r="55" spans="1:5" x14ac:dyDescent="0.2">
      <c r="C55" s="60"/>
      <c r="D55" s="60"/>
    </row>
    <row r="56" spans="1:5" x14ac:dyDescent="0.2">
      <c r="B56" s="46" t="s">
        <v>47</v>
      </c>
      <c r="C56" s="62">
        <f>C22/C54*10^12</f>
        <v>119.36571289923859</v>
      </c>
      <c r="D56" s="62">
        <f>D22/D54*10^12</f>
        <v>283.8270060395576</v>
      </c>
    </row>
    <row r="57" spans="1:5" x14ac:dyDescent="0.2">
      <c r="B57" s="46"/>
      <c r="C57" s="62"/>
      <c r="D57" s="62"/>
    </row>
    <row r="58" spans="1:5" x14ac:dyDescent="0.2">
      <c r="B58" s="46" t="s">
        <v>46</v>
      </c>
      <c r="C58" s="56">
        <f>C56*C8/10^6</f>
        <v>0.87136970416444171</v>
      </c>
      <c r="D58" s="56">
        <f>D56*C8/10^6</f>
        <v>2.0719371440887704</v>
      </c>
    </row>
    <row r="60" spans="1:5" s="39" customFormat="1" x14ac:dyDescent="0.2">
      <c r="A60" s="39" t="s">
        <v>73</v>
      </c>
    </row>
    <row r="61" spans="1:5" x14ac:dyDescent="0.2">
      <c r="B61" s="40" t="s">
        <v>42</v>
      </c>
      <c r="C61" s="41"/>
      <c r="D61" s="146"/>
      <c r="E61" s="146"/>
    </row>
    <row r="62" spans="1:5" x14ac:dyDescent="0.2">
      <c r="B62" s="41"/>
      <c r="C62" s="40" t="s">
        <v>71</v>
      </c>
      <c r="D62" s="144" t="s">
        <v>228</v>
      </c>
      <c r="E62" s="144" t="s">
        <v>225</v>
      </c>
    </row>
    <row r="63" spans="1:5" x14ac:dyDescent="0.2">
      <c r="B63" s="43" t="s">
        <v>49</v>
      </c>
      <c r="C63" s="63">
        <f>IF('NG Parameters'!$B$44="No",D63,E63)</f>
        <v>5311.8716223923793</v>
      </c>
      <c r="D63" s="148">
        <f>SUM(C75:C77)/C82*10^12</f>
        <v>5311.8716223923793</v>
      </c>
      <c r="E63" s="148">
        <f>D63*(1+'NG Parameters'!$B$45/100)</f>
        <v>5843.0587846316175</v>
      </c>
    </row>
    <row r="64" spans="1:5" x14ac:dyDescent="0.2">
      <c r="B64" s="43" t="s">
        <v>50</v>
      </c>
      <c r="C64" s="63">
        <f>IF('NG Parameters'!$B$44="No",D64,E64)</f>
        <v>5.0356542980279757</v>
      </c>
      <c r="D64" s="148">
        <f>D63*Conversions!$B$8</f>
        <v>5.0356542980279757</v>
      </c>
      <c r="E64" s="148">
        <f>D64*(1+'NG Parameters'!$B$45/100)</f>
        <v>5.5392197278307735</v>
      </c>
    </row>
    <row r="65" spans="2:16" x14ac:dyDescent="0.2">
      <c r="B65" s="43" t="s">
        <v>51</v>
      </c>
      <c r="C65" s="63">
        <f>IF('NG Parameters'!$B$44="No",D65,E65)</f>
        <v>38.776662843464365</v>
      </c>
      <c r="D65" s="148">
        <f>D63*C$70/10^6</f>
        <v>38.776662843464365</v>
      </c>
      <c r="E65" s="148">
        <f>D65*(1+'NG Parameters'!$B$45/100)</f>
        <v>42.654329127810804</v>
      </c>
    </row>
    <row r="67" spans="2:16" x14ac:dyDescent="0.2">
      <c r="B67" s="5" t="s">
        <v>243</v>
      </c>
      <c r="C67" s="143">
        <f>'NG Parameters'!B6</f>
        <v>4.3480490514416106</v>
      </c>
      <c r="D67" s="26" t="s">
        <v>216</v>
      </c>
    </row>
    <row r="68" spans="2:16" x14ac:dyDescent="0.2">
      <c r="B68" s="5" t="s">
        <v>244</v>
      </c>
      <c r="C68" s="143">
        <f>'NG Parameters'!B7</f>
        <v>0.77456954894790409</v>
      </c>
      <c r="D68" s="26" t="s">
        <v>216</v>
      </c>
    </row>
    <row r="69" spans="2:16" x14ac:dyDescent="0.2">
      <c r="B69" s="164" t="s">
        <v>373</v>
      </c>
      <c r="C69" s="143">
        <f>'NG Parameters'!B8</f>
        <v>0.38579227203138206</v>
      </c>
      <c r="D69" s="26" t="s">
        <v>216</v>
      </c>
    </row>
    <row r="70" spans="2:16" ht="16" x14ac:dyDescent="0.2">
      <c r="B70" s="9" t="s">
        <v>44</v>
      </c>
      <c r="C70" s="104">
        <f>'NG Parameters'!B$42</f>
        <v>7300</v>
      </c>
      <c r="D70" s="5" t="s">
        <v>45</v>
      </c>
    </row>
    <row r="71" spans="2:16" ht="16" x14ac:dyDescent="0.2">
      <c r="B71" s="5" t="s">
        <v>100</v>
      </c>
      <c r="C71" s="103">
        <f>Conversions!B$2</f>
        <v>51505.644797356501</v>
      </c>
      <c r="D71" s="120" t="s">
        <v>101</v>
      </c>
    </row>
    <row r="72" spans="2:16" x14ac:dyDescent="0.2">
      <c r="B72" s="27" t="s">
        <v>24</v>
      </c>
      <c r="C72" s="50">
        <f>'NG Parameters'!B$43</f>
        <v>1037</v>
      </c>
      <c r="D72" s="5" t="s">
        <v>25</v>
      </c>
    </row>
    <row r="73" spans="2:16" ht="16" x14ac:dyDescent="0.2">
      <c r="B73" s="9" t="s">
        <v>126</v>
      </c>
      <c r="C73" s="110">
        <f>Conversions!B$5</f>
        <v>3.6666666666666665</v>
      </c>
      <c r="D73" s="5" t="s">
        <v>116</v>
      </c>
    </row>
    <row r="74" spans="2:16" s="80" customFormat="1" x14ac:dyDescent="0.2">
      <c r="B74" s="20"/>
      <c r="C74" s="106"/>
      <c r="D74" s="19"/>
    </row>
    <row r="75" spans="2:16" x14ac:dyDescent="0.2">
      <c r="B75" s="55" t="s">
        <v>241</v>
      </c>
      <c r="C75" s="62">
        <f>C67*C$81/10^6</f>
        <v>135.55476853164555</v>
      </c>
    </row>
    <row r="76" spans="2:16" x14ac:dyDescent="0.2">
      <c r="B76" s="55" t="s">
        <v>242</v>
      </c>
      <c r="C76" s="62">
        <f t="shared" ref="C76:C77" si="4">C68*C$81/10^6</f>
        <v>24.147978708860759</v>
      </c>
    </row>
    <row r="77" spans="2:16" x14ac:dyDescent="0.2">
      <c r="B77" s="55" t="s">
        <v>374</v>
      </c>
      <c r="C77" s="62">
        <f t="shared" si="4"/>
        <v>12.027459101265823</v>
      </c>
    </row>
    <row r="78" spans="2:16" x14ac:dyDescent="0.2">
      <c r="B78" s="55" t="s">
        <v>157</v>
      </c>
      <c r="C78" s="65">
        <f>C50</f>
        <v>27568.156999999999</v>
      </c>
      <c r="D78" s="2" t="s">
        <v>81</v>
      </c>
    </row>
    <row r="79" spans="2:16" x14ac:dyDescent="0.2">
      <c r="B79" s="55" t="s">
        <v>158</v>
      </c>
      <c r="C79" s="65">
        <f>C51</f>
        <v>3607.8409999999999</v>
      </c>
      <c r="D79" s="2" t="s">
        <v>81</v>
      </c>
    </row>
    <row r="80" spans="2:16" x14ac:dyDescent="0.2">
      <c r="B80" s="55" t="s">
        <v>159</v>
      </c>
      <c r="C80" s="65">
        <f>C52</f>
        <v>31175.998</v>
      </c>
      <c r="D80" s="2" t="s">
        <v>81</v>
      </c>
      <c r="J80" s="165" t="s">
        <v>274</v>
      </c>
      <c r="K80" s="166">
        <f>K82/C81</f>
        <v>0.13792661906124062</v>
      </c>
      <c r="L80" s="167"/>
      <c r="N80" s="165" t="s">
        <v>277</v>
      </c>
      <c r="O80" s="166">
        <f>O82/C81</f>
        <v>0.36566592030189377</v>
      </c>
      <c r="P80" s="167"/>
    </row>
    <row r="81" spans="2:16" x14ac:dyDescent="0.2">
      <c r="B81" s="55" t="s">
        <v>159</v>
      </c>
      <c r="C81" s="65">
        <f>C80*10^3</f>
        <v>31175998</v>
      </c>
      <c r="D81" s="2" t="s">
        <v>215</v>
      </c>
    </row>
    <row r="82" spans="2:16" x14ac:dyDescent="0.2">
      <c r="B82" s="46" t="s">
        <v>41</v>
      </c>
      <c r="C82" s="60">
        <f>C80*C72*10^3</f>
        <v>32329509926</v>
      </c>
      <c r="J82" s="55" t="s">
        <v>159</v>
      </c>
      <c r="K82" s="65">
        <v>4300000</v>
      </c>
      <c r="L82" s="2" t="s">
        <v>215</v>
      </c>
      <c r="N82" s="55" t="s">
        <v>159</v>
      </c>
      <c r="O82" s="65">
        <v>11400000</v>
      </c>
      <c r="P82" s="2" t="s">
        <v>215</v>
      </c>
    </row>
    <row r="83" spans="2:16" x14ac:dyDescent="0.2">
      <c r="B83" s="55" t="s">
        <v>256</v>
      </c>
      <c r="C83" s="122">
        <f>D107/C81</f>
        <v>4.3480490514416106</v>
      </c>
      <c r="D83" s="2" t="s">
        <v>245</v>
      </c>
      <c r="J83" s="55" t="s">
        <v>256</v>
      </c>
      <c r="K83" s="122">
        <f>K107/K82</f>
        <v>5.8335002413749963</v>
      </c>
      <c r="L83" s="2" t="s">
        <v>245</v>
      </c>
      <c r="N83" s="55" t="s">
        <v>256</v>
      </c>
      <c r="O83" s="122">
        <f>O107/O82</f>
        <v>2.2965579394367532</v>
      </c>
      <c r="P83" s="2" t="s">
        <v>245</v>
      </c>
    </row>
    <row r="84" spans="2:16"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row>
    <row r="85" spans="2:16" x14ac:dyDescent="0.2">
      <c r="B85" s="55" t="s">
        <v>372</v>
      </c>
      <c r="C85" s="122">
        <f>D109/C81</f>
        <v>0.38579227203138206</v>
      </c>
      <c r="D85" s="2" t="s">
        <v>245</v>
      </c>
      <c r="J85" s="55" t="s">
        <v>372</v>
      </c>
      <c r="K85" s="122">
        <f>K109/K82</f>
        <v>0.32315767441860466</v>
      </c>
      <c r="L85" s="2" t="s">
        <v>245</v>
      </c>
      <c r="N85" s="55" t="s">
        <v>372</v>
      </c>
      <c r="O85" s="86">
        <f>O109/O82</f>
        <v>0.10668070175438599</v>
      </c>
    </row>
    <row r="86" spans="2:16" x14ac:dyDescent="0.2">
      <c r="B86" s="55"/>
      <c r="C86" s="122"/>
      <c r="K86" s="210" t="s">
        <v>275</v>
      </c>
      <c r="O86" s="165" t="s">
        <v>275</v>
      </c>
    </row>
    <row r="87" spans="2:16" x14ac:dyDescent="0.2">
      <c r="B87" s="91" t="s">
        <v>78</v>
      </c>
    </row>
    <row r="88" spans="2:16" x14ac:dyDescent="0.2">
      <c r="B88" s="80"/>
      <c r="C88" s="2" t="s">
        <v>222</v>
      </c>
      <c r="D88" s="2" t="s">
        <v>223</v>
      </c>
      <c r="F88" s="80"/>
      <c r="K88" s="2" t="s">
        <v>222</v>
      </c>
      <c r="L88" s="2" t="s">
        <v>223</v>
      </c>
      <c r="O88" s="2" t="s">
        <v>222</v>
      </c>
      <c r="P88" s="2" t="s">
        <v>223</v>
      </c>
    </row>
    <row r="89" spans="2:16" x14ac:dyDescent="0.2">
      <c r="B89" s="55" t="s">
        <v>247</v>
      </c>
      <c r="E89" s="225" t="s">
        <v>382</v>
      </c>
      <c r="F89" s="165" t="s">
        <v>276</v>
      </c>
      <c r="J89" s="55" t="s">
        <v>247</v>
      </c>
      <c r="N89" s="55" t="s">
        <v>247</v>
      </c>
    </row>
    <row r="90" spans="2:16" x14ac:dyDescent="0.2">
      <c r="B90" s="55" t="s">
        <v>240</v>
      </c>
      <c r="E90" s="3"/>
      <c r="J90" s="55" t="s">
        <v>240</v>
      </c>
      <c r="N90" s="55" t="s">
        <v>240</v>
      </c>
    </row>
    <row r="91" spans="2:16" x14ac:dyDescent="0.2">
      <c r="B91" s="55" t="s">
        <v>248</v>
      </c>
      <c r="E91" s="139"/>
      <c r="J91" s="55" t="s">
        <v>248</v>
      </c>
      <c r="N91" s="55" t="s">
        <v>248</v>
      </c>
    </row>
    <row r="92" spans="2:16" x14ac:dyDescent="0.2">
      <c r="B92" s="55" t="s">
        <v>236</v>
      </c>
      <c r="E92" s="139"/>
      <c r="J92" s="55" t="s">
        <v>236</v>
      </c>
      <c r="N92" s="55" t="s">
        <v>236</v>
      </c>
    </row>
    <row r="93" spans="2:16"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5">D93*$O$80</f>
        <v>1.4714586408932158</v>
      </c>
    </row>
    <row r="94" spans="2:16"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5"/>
        <v>0</v>
      </c>
    </row>
    <row r="95" spans="2:16" x14ac:dyDescent="0.2">
      <c r="B95" s="55" t="s">
        <v>367</v>
      </c>
      <c r="C95" s="140">
        <f>0.03456*E93/(1-F93)</f>
        <v>2.6248101265822783E-2</v>
      </c>
      <c r="D95" s="56"/>
      <c r="E95" s="139"/>
      <c r="J95" s="55" t="s">
        <v>367</v>
      </c>
      <c r="K95" s="56">
        <v>0</v>
      </c>
      <c r="L95" s="56"/>
      <c r="N95" s="55" t="s">
        <v>367</v>
      </c>
      <c r="O95" s="56">
        <v>3.339E-3</v>
      </c>
      <c r="P95" s="56">
        <f t="shared" si="5"/>
        <v>0</v>
      </c>
    </row>
    <row r="96" spans="2:16" x14ac:dyDescent="0.2">
      <c r="B96" s="55" t="s">
        <v>250</v>
      </c>
      <c r="C96" s="140">
        <v>59.269931999999997</v>
      </c>
      <c r="D96" s="56"/>
      <c r="E96" s="139"/>
      <c r="J96" s="55" t="s">
        <v>250</v>
      </c>
      <c r="K96" s="56">
        <v>11.626189</v>
      </c>
      <c r="L96" s="56">
        <f>D96*$K$80</f>
        <v>0</v>
      </c>
      <c r="N96" s="55" t="s">
        <v>250</v>
      </c>
      <c r="O96" s="56">
        <v>8.3213270000000001</v>
      </c>
      <c r="P96" s="56">
        <f t="shared" si="5"/>
        <v>0</v>
      </c>
    </row>
    <row r="97" spans="1:16" x14ac:dyDescent="0.2">
      <c r="B97" s="55" t="s">
        <v>235</v>
      </c>
      <c r="C97" s="209">
        <v>3.436995</v>
      </c>
      <c r="D97" s="56"/>
      <c r="E97" s="139"/>
      <c r="J97" s="55" t="s">
        <v>235</v>
      </c>
      <c r="K97" s="56">
        <v>1.438299</v>
      </c>
      <c r="L97" s="56">
        <f>D97*$K$80</f>
        <v>0</v>
      </c>
      <c r="N97" s="55" t="s">
        <v>235</v>
      </c>
      <c r="O97" s="56">
        <v>8.6674000000000001E-2</v>
      </c>
      <c r="P97" s="56">
        <f t="shared" si="5"/>
        <v>0</v>
      </c>
    </row>
    <row r="98" spans="1:16" x14ac:dyDescent="0.2">
      <c r="B98" s="55" t="s">
        <v>368</v>
      </c>
      <c r="C98" s="140">
        <v>0.60960199999999998</v>
      </c>
      <c r="D98" s="56"/>
      <c r="E98" s="139"/>
      <c r="J98" s="55" t="s">
        <v>368</v>
      </c>
      <c r="K98" s="56">
        <v>0.14707300000000001</v>
      </c>
      <c r="L98" s="56"/>
      <c r="N98" s="55" t="s">
        <v>368</v>
      </c>
      <c r="O98" s="56">
        <v>2.4684999999999999E-2</v>
      </c>
      <c r="P98" s="56">
        <f t="shared" si="5"/>
        <v>0</v>
      </c>
    </row>
    <row r="99" spans="1:16"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5"/>
        <v>14.284952359825015</v>
      </c>
    </row>
    <row r="100" spans="1:16" ht="16" x14ac:dyDescent="0.2">
      <c r="B100" s="55" t="s">
        <v>237</v>
      </c>
      <c r="C100" s="140">
        <v>4.1193470000000003</v>
      </c>
      <c r="D100" s="56"/>
      <c r="E100" s="118"/>
      <c r="F100" s="3"/>
      <c r="J100" s="55" t="s">
        <v>237</v>
      </c>
      <c r="K100" s="180">
        <v>1.5641233000000001</v>
      </c>
      <c r="L100" s="56">
        <f>D100*$K$80</f>
        <v>0</v>
      </c>
      <c r="N100" s="55" t="s">
        <v>237</v>
      </c>
      <c r="O100" s="213">
        <v>0.20107700000000001</v>
      </c>
      <c r="P100" s="56"/>
    </row>
    <row r="101" spans="1:16" x14ac:dyDescent="0.2">
      <c r="B101" s="55" t="s">
        <v>369</v>
      </c>
      <c r="C101" s="140">
        <v>11.391609000000001</v>
      </c>
      <c r="D101" s="56"/>
      <c r="E101" s="118"/>
      <c r="F101" s="3"/>
      <c r="J101" s="55" t="s">
        <v>369</v>
      </c>
      <c r="K101" s="56">
        <v>1.242505</v>
      </c>
      <c r="L101" s="56"/>
      <c r="N101" s="55" t="s">
        <v>369</v>
      </c>
      <c r="O101" s="213">
        <v>1.1881360000000001</v>
      </c>
      <c r="P101" s="56"/>
    </row>
    <row r="102" spans="1:16" x14ac:dyDescent="0.2">
      <c r="B102" s="55" t="s">
        <v>252</v>
      </c>
      <c r="C102" s="140"/>
      <c r="E102" s="119">
        <f>'NG Parameters'!B47/100</f>
        <v>0.83</v>
      </c>
      <c r="F102" s="64">
        <v>1248.046</v>
      </c>
      <c r="G102" s="2" t="s">
        <v>79</v>
      </c>
      <c r="J102" s="55" t="s">
        <v>252</v>
      </c>
      <c r="K102" s="56">
        <v>3.1604E-2</v>
      </c>
      <c r="L102" s="56">
        <f>D102*$K$80</f>
        <v>0</v>
      </c>
      <c r="N102" s="55" t="s">
        <v>252</v>
      </c>
      <c r="O102" s="213"/>
      <c r="P102" s="56"/>
    </row>
    <row r="103" spans="1:16" x14ac:dyDescent="0.2">
      <c r="B103" s="55" t="s">
        <v>253</v>
      </c>
      <c r="C103" s="140"/>
      <c r="E103" s="119">
        <f>'NG Parameters'!B49/100</f>
        <v>0.83</v>
      </c>
      <c r="F103" s="64">
        <v>446.19200000000001</v>
      </c>
      <c r="G103" s="2" t="s">
        <v>80</v>
      </c>
      <c r="J103" s="55" t="s">
        <v>253</v>
      </c>
      <c r="K103" s="56">
        <f>C103*$K$80</f>
        <v>0</v>
      </c>
      <c r="L103" s="56">
        <f>D103*$K$80</f>
        <v>0</v>
      </c>
      <c r="N103" s="55" t="s">
        <v>253</v>
      </c>
      <c r="O103" s="56"/>
      <c r="P103" s="56"/>
    </row>
    <row r="104" spans="1:16"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row>
    <row r="105" spans="1:16"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row>
    <row r="106" spans="1:16" x14ac:dyDescent="0.2">
      <c r="B106" s="55" t="s">
        <v>371</v>
      </c>
      <c r="D106" s="47">
        <f>SUM(C95:D95,C98:D98,C101:D101)</f>
        <v>12.027459101265823</v>
      </c>
      <c r="J106" s="55" t="s">
        <v>371</v>
      </c>
      <c r="K106" s="47">
        <f>SUM(K95:L95,K98:L98,K101:L101)</f>
        <v>1.389578</v>
      </c>
      <c r="N106" s="55" t="s">
        <v>371</v>
      </c>
      <c r="O106" s="47">
        <f>SUM(O95:P95,O98:P98,O101:P101)</f>
        <v>1.2161600000000001</v>
      </c>
    </row>
    <row r="107" spans="1:16" x14ac:dyDescent="0.2">
      <c r="B107" s="55" t="s">
        <v>255</v>
      </c>
      <c r="D107" s="65">
        <f>D104*10^6</f>
        <v>135554768.53164554</v>
      </c>
      <c r="J107" s="55" t="s">
        <v>255</v>
      </c>
      <c r="K107" s="65">
        <f>K104*10^6</f>
        <v>25084051.037912484</v>
      </c>
      <c r="N107" s="55" t="s">
        <v>255</v>
      </c>
      <c r="O107" s="65">
        <f>O104*10^6</f>
        <v>26180760.509578988</v>
      </c>
    </row>
    <row r="108" spans="1:16" x14ac:dyDescent="0.2">
      <c r="B108" s="55" t="s">
        <v>239</v>
      </c>
      <c r="D108" s="65">
        <f t="shared" ref="D108:D109" si="6">D105*10^6</f>
        <v>24147978.708860759</v>
      </c>
      <c r="J108" s="55" t="s">
        <v>239</v>
      </c>
      <c r="K108" s="65">
        <f t="shared" ref="K108:K109" si="7">K105*10^6</f>
        <v>8358764.3253164552</v>
      </c>
      <c r="N108" s="55" t="s">
        <v>239</v>
      </c>
      <c r="O108" s="65">
        <f t="shared" ref="O108:O109" si="8">O105*10^6</f>
        <v>317365.17721518985</v>
      </c>
    </row>
    <row r="109" spans="1:16" x14ac:dyDescent="0.2">
      <c r="B109" s="55" t="s">
        <v>370</v>
      </c>
      <c r="D109" s="65">
        <f t="shared" si="6"/>
        <v>12027459.101265823</v>
      </c>
      <c r="J109" s="55" t="s">
        <v>370</v>
      </c>
      <c r="K109" s="65">
        <f t="shared" si="7"/>
        <v>1389578</v>
      </c>
      <c r="N109" s="55" t="s">
        <v>370</v>
      </c>
      <c r="O109" s="65">
        <f t="shared" si="8"/>
        <v>1216160.0000000002</v>
      </c>
      <c r="P109" s="65"/>
    </row>
    <row r="110" spans="1:16" x14ac:dyDescent="0.2">
      <c r="B110" s="46"/>
      <c r="C110" s="60"/>
    </row>
    <row r="111" spans="1:16" s="39" customFormat="1" x14ac:dyDescent="0.2">
      <c r="A111" s="39" t="s">
        <v>179</v>
      </c>
    </row>
    <row r="112" spans="1:16"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Parameters'!$B$44="No",F114,I114)</f>
        <v>62.422986210302511</v>
      </c>
      <c r="D114" s="44">
        <f>IF('NG Parameters'!$B$44="No",G114,J114)</f>
        <v>2247.2275035708903</v>
      </c>
      <c r="E114" s="44">
        <f>IF('NG Parameters'!$B$44="No",H114,K114)</f>
        <v>5430.7998002963186</v>
      </c>
      <c r="F114" s="148">
        <f>(C119+C120)/C122*C123/C121*10^12</f>
        <v>62.422986210302511</v>
      </c>
      <c r="G114" s="148">
        <f>F114*Conversions!$B$7</f>
        <v>2247.2275035708903</v>
      </c>
      <c r="H114" s="148">
        <f>F114*Conversions!$B$6</f>
        <v>5430.7998002963186</v>
      </c>
      <c r="I114" s="148">
        <f>F114*(1+'NG Parameters'!$B$45/100)</f>
        <v>68.665284831332769</v>
      </c>
      <c r="J114" s="148">
        <f>G114*(1+'NG Parameters'!$B$45/100)</f>
        <v>2471.9502539279797</v>
      </c>
      <c r="K114" s="148">
        <f>H114*(1+'NG Parameters'!$B$45/100)</f>
        <v>5973.8797803259513</v>
      </c>
    </row>
    <row r="115" spans="2:11" x14ac:dyDescent="0.2">
      <c r="B115" s="43" t="s">
        <v>50</v>
      </c>
      <c r="C115" s="44">
        <f>IF('NG Parameters'!$B$44="No",F115,I115)</f>
        <v>5.9176990927366779E-2</v>
      </c>
      <c r="D115" s="44">
        <f>IF('NG Parameters'!$B$44="No",G115,J115)</f>
        <v>2.1303716733852038</v>
      </c>
      <c r="E115" s="44">
        <f>IF('NG Parameters'!$B$44="No",H115,K115)</f>
        <v>5.1483982106809094</v>
      </c>
      <c r="F115" s="148">
        <f>F114*Conversions!$B$8</f>
        <v>5.9176990927366779E-2</v>
      </c>
      <c r="G115" s="148">
        <f>F115*Conversions!$B$7</f>
        <v>2.1303716733852038</v>
      </c>
      <c r="H115" s="148">
        <f>F115*Conversions!$B$6</f>
        <v>5.1483982106809094</v>
      </c>
      <c r="I115" s="148">
        <f>F115*(1+'NG Parameters'!$B$45/100)</f>
        <v>6.5094690020103457E-2</v>
      </c>
      <c r="J115" s="148">
        <f>G115*(1+'NG Parameters'!$B$45/100)</f>
        <v>2.3434088407237246</v>
      </c>
      <c r="K115" s="148">
        <f>H115*(1+'NG Parameters'!$B$45/100)</f>
        <v>5.6632380317490005</v>
      </c>
    </row>
    <row r="116" spans="2:11" x14ac:dyDescent="0.2">
      <c r="B116" s="43" t="s">
        <v>51</v>
      </c>
      <c r="C116" s="44">
        <f>IF('NG Parameters'!$B$44="No",F116,I116)</f>
        <v>0.45568779933520831</v>
      </c>
      <c r="D116" s="44">
        <f>IF('NG Parameters'!$B$44="No",G116,J116)</f>
        <v>16.404760776067498</v>
      </c>
      <c r="E116" s="44">
        <f>IF('NG Parameters'!$B$44="No",H116,K116)</f>
        <v>39.644838542163122</v>
      </c>
      <c r="F116" s="148">
        <f>F114*C$118/10^6</f>
        <v>0.45568779933520831</v>
      </c>
      <c r="G116" s="148">
        <f>F116*Conversions!$B$7</f>
        <v>16.404760776067498</v>
      </c>
      <c r="H116" s="148">
        <f>F116*Conversions!$B$6</f>
        <v>39.644838542163122</v>
      </c>
      <c r="I116" s="148">
        <f>F116*(1+'NG Parameters'!$B$45/100)</f>
        <v>0.50125657926872913</v>
      </c>
      <c r="J116" s="148">
        <f>G116*(1+'NG Parameters'!$B$45/100)</f>
        <v>18.04523685367425</v>
      </c>
      <c r="K116" s="148">
        <f>H116*(1+'NG Parameters'!$B$45/100)</f>
        <v>43.60932239637944</v>
      </c>
    </row>
    <row r="117" spans="2:11" x14ac:dyDescent="0.2">
      <c r="B117" s="46"/>
      <c r="C117" s="47"/>
    </row>
    <row r="118" spans="2:11" ht="16" x14ac:dyDescent="0.2">
      <c r="B118" s="9" t="s">
        <v>44</v>
      </c>
      <c r="C118" s="104">
        <f>'NG Parameters'!B$42</f>
        <v>7300</v>
      </c>
      <c r="D118" s="5" t="s">
        <v>45</v>
      </c>
    </row>
    <row r="119" spans="2:11" x14ac:dyDescent="0.2">
      <c r="B119" s="48" t="s">
        <v>200</v>
      </c>
      <c r="C119" s="58">
        <f>'NG Parameters'!B12/100</f>
        <v>3.5095749396535105E-3</v>
      </c>
    </row>
    <row r="120" spans="2:11" x14ac:dyDescent="0.2">
      <c r="B120" s="48" t="s">
        <v>201</v>
      </c>
      <c r="C120" s="58">
        <f>'NG Parameters'!B15/100</f>
        <v>0</v>
      </c>
    </row>
    <row r="121" spans="2:11" x14ac:dyDescent="0.2">
      <c r="B121" s="27" t="s">
        <v>24</v>
      </c>
      <c r="C121" s="50">
        <f>'NG Parameters'!B43</f>
        <v>1037</v>
      </c>
      <c r="D121" s="5" t="s">
        <v>25</v>
      </c>
    </row>
    <row r="122" spans="2:11" ht="16" x14ac:dyDescent="0.2">
      <c r="B122" s="5" t="s">
        <v>100</v>
      </c>
      <c r="C122" s="103">
        <f>Conversions!B$2</f>
        <v>51505.644797356501</v>
      </c>
      <c r="D122" s="120" t="s">
        <v>101</v>
      </c>
    </row>
    <row r="123" spans="2:11" x14ac:dyDescent="0.2">
      <c r="B123" s="27" t="s">
        <v>36</v>
      </c>
      <c r="C123" s="51">
        <f>'NG Parameters'!B50/100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Parameters'!$B$10</f>
        <v>972.04135999999994</v>
      </c>
      <c r="D135" s="108">
        <f>'NG Parameters'!$B$10</f>
        <v>972.04135999999994</v>
      </c>
      <c r="E135" s="170" t="s">
        <v>321</v>
      </c>
    </row>
    <row r="136" spans="2:6" x14ac:dyDescent="0.2">
      <c r="B136" s="172" t="s">
        <v>338</v>
      </c>
      <c r="C136" s="83">
        <f>C134*C135</f>
        <v>2.4321581337150098E-3</v>
      </c>
      <c r="D136" s="83">
        <f>D134*D135</f>
        <v>3.5095749396535105E-3</v>
      </c>
    </row>
    <row r="137" spans="2:6" x14ac:dyDescent="0.2">
      <c r="B137" s="80" t="s">
        <v>22</v>
      </c>
      <c r="C137" s="122">
        <f>C136*C144/$C122*10^3*$C123</f>
        <v>1.3985595081893007</v>
      </c>
      <c r="D137" s="122">
        <f>D136*D144/$C122*10^3*$C123</f>
        <v>1.7330737416460908</v>
      </c>
    </row>
    <row r="138" spans="2:6" x14ac:dyDescent="0.2">
      <c r="B138" s="80"/>
      <c r="C138" s="87"/>
    </row>
    <row r="139" spans="2:6" x14ac:dyDescent="0.2">
      <c r="B139" s="80" t="s">
        <v>194</v>
      </c>
      <c r="C139" s="83">
        <f>C131/C133*C135</f>
        <v>2.0314497564893268E-3</v>
      </c>
      <c r="D139" s="83">
        <f>D131/D133*D135</f>
        <v>2.5173417432935311E-3</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43.259533206364907</v>
      </c>
      <c r="D147" s="62">
        <f>D137/D145*10^12</f>
        <v>62.422986210302511</v>
      </c>
    </row>
    <row r="148" spans="1:11" x14ac:dyDescent="0.2">
      <c r="B148" s="46" t="s">
        <v>46</v>
      </c>
      <c r="C148" s="56">
        <f>C147*C118/10^6</f>
        <v>0.31579459240646379</v>
      </c>
      <c r="D148" s="56">
        <f>D147*C118/10^6</f>
        <v>0.45568779933520831</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Parameters'!$B$44="No",F153,I153)</f>
        <v>122.68416537511776</v>
      </c>
      <c r="D153" s="68">
        <f>IF('NG Parameters'!$B$44="No",G153,J153)</f>
        <v>4416.629953504239</v>
      </c>
      <c r="E153" s="68">
        <f>IF('NG Parameters'!$B$44="No",H153,K153)</f>
        <v>10673.522387635245</v>
      </c>
      <c r="F153" s="148">
        <f>F155/'NG Parameters'!$B$42*10^6</f>
        <v>122.68416537511776</v>
      </c>
      <c r="G153" s="148">
        <f>F153*Conversions!$B$7</f>
        <v>4416.629953504239</v>
      </c>
      <c r="H153" s="148">
        <f>F153*Conversions!$B$6</f>
        <v>10673.522387635245</v>
      </c>
      <c r="I153" s="148">
        <f>F153*(1+'NG Parameters'!$B$45/100)</f>
        <v>134.95258191262954</v>
      </c>
      <c r="J153" s="148">
        <f>G153*(1+'NG Parameters'!$B$45/100)</f>
        <v>4858.2929488546633</v>
      </c>
      <c r="K153" s="148">
        <f>H153*(1+'NG Parameters'!$B$45/100)</f>
        <v>11740.87462639877</v>
      </c>
    </row>
    <row r="154" spans="1:11" x14ac:dyDescent="0.2">
      <c r="B154" s="43" t="s">
        <v>50</v>
      </c>
      <c r="C154" s="68">
        <f>IF('NG Parameters'!$B$44="No",F154,I154)</f>
        <v>0.11630458877561163</v>
      </c>
      <c r="D154" s="68">
        <f>IF('NG Parameters'!$B$44="No",G154,J154)</f>
        <v>4.1869651959220189</v>
      </c>
      <c r="E154" s="68">
        <f>IF('NG Parameters'!$B$44="No",H154,K154)</f>
        <v>10.118499223478212</v>
      </c>
      <c r="F154" s="148">
        <f>F153*Conversions!$B$8</f>
        <v>0.11630458877561163</v>
      </c>
      <c r="G154" s="148">
        <f>F154*Conversions!$B$7</f>
        <v>4.1869651959220189</v>
      </c>
      <c r="H154" s="148">
        <f>F154*Conversions!$B$6</f>
        <v>10.118499223478212</v>
      </c>
      <c r="I154" s="148">
        <f>F154*(1+'NG Parameters'!$B$45/100)</f>
        <v>0.12793504765317282</v>
      </c>
      <c r="J154" s="148">
        <f>G154*(1+'NG Parameters'!$B$45/100)</f>
        <v>4.6056617155142208</v>
      </c>
      <c r="K154" s="148">
        <f>H154*(1+'NG Parameters'!$B$45/100)</f>
        <v>11.130349145826035</v>
      </c>
    </row>
    <row r="155" spans="1:11" x14ac:dyDescent="0.2">
      <c r="B155" s="43" t="s">
        <v>51</v>
      </c>
      <c r="C155" s="68">
        <f>IF('NG Parameters'!$B$44="No",F155,I155)</f>
        <v>0.8955944072383597</v>
      </c>
      <c r="D155" s="68">
        <f>IF('NG Parameters'!$B$44="No",G155,J155)</f>
        <v>32.241398660580948</v>
      </c>
      <c r="E155" s="68">
        <f>IF('NG Parameters'!$B$44="No",H155,K155)</f>
        <v>77.9167134297373</v>
      </c>
      <c r="F155" s="148">
        <f>SUM(E166:E180,E186:E188,E193:E194)</f>
        <v>0.8955944072383597</v>
      </c>
      <c r="G155" s="148">
        <f>F155*Conversions!$B$7</f>
        <v>32.241398660580948</v>
      </c>
      <c r="H155" s="148">
        <f>F155*Conversions!$B$6</f>
        <v>77.9167134297373</v>
      </c>
      <c r="I155" s="148">
        <f>F155*(1+'NG Parameters'!$B$45/100)</f>
        <v>0.98515384796219574</v>
      </c>
      <c r="J155" s="148">
        <f>G155*(1+'NG Parameters'!$B$45/100)</f>
        <v>35.465538526639044</v>
      </c>
      <c r="K155" s="148">
        <f>H155*(1+'NG Parameters'!$B$45/100)</f>
        <v>85.708384772711042</v>
      </c>
    </row>
    <row r="156" spans="1:11" x14ac:dyDescent="0.2">
      <c r="B156" s="46"/>
      <c r="C156" s="69"/>
    </row>
    <row r="157" spans="1:11" x14ac:dyDescent="0.2">
      <c r="B157" s="5" t="s">
        <v>24</v>
      </c>
      <c r="C157" s="17">
        <f>'NG Parameters'!B$43</f>
        <v>1037</v>
      </c>
      <c r="D157" s="4" t="s">
        <v>102</v>
      </c>
    </row>
    <row r="158" spans="1:11" ht="16" x14ac:dyDescent="0.2">
      <c r="B158" s="5" t="s">
        <v>100</v>
      </c>
      <c r="C158" s="103">
        <f>Conversions!B$2</f>
        <v>51505.644797356501</v>
      </c>
      <c r="D158" s="21" t="s">
        <v>101</v>
      </c>
    </row>
    <row r="159" spans="1:11" ht="16" x14ac:dyDescent="0.2">
      <c r="B159" s="9" t="s">
        <v>44</v>
      </c>
      <c r="C159" s="104">
        <f>'NG Parameters'!B$42</f>
        <v>7300</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58">
        <f>'NG Parameters'!B21/100</f>
        <v>8.9999999999999998E-4</v>
      </c>
      <c r="E166" s="56">
        <f>C166*10^6/C$158*10^3/(C$157*10^6)*C$159*1000</f>
        <v>0.12300755458202742</v>
      </c>
      <c r="F166" s="59">
        <f>E166/'NG Parameters'!$B$42*10^6*0.000948</f>
        <v>1.5974131745720817E-2</v>
      </c>
      <c r="G166" s="87">
        <f>F166*Conversions!$B$7</f>
        <v>0.57506874284594944</v>
      </c>
    </row>
    <row r="167" spans="2:7" x14ac:dyDescent="0.2">
      <c r="B167" s="73" t="s">
        <v>95</v>
      </c>
      <c r="D167" s="56"/>
      <c r="E167" s="47">
        <f>(C174)/C$158*C175/(C$157/10^6)*C$159</f>
        <v>0.31121460673077711</v>
      </c>
      <c r="F167" s="59">
        <f>E167/'NG Parameters'!$B$42*10^6*0.000948</f>
        <v>4.0415266737092698E-2</v>
      </c>
      <c r="G167" s="87">
        <f>F167*Conversions!$B$7</f>
        <v>1.4549496025353372</v>
      </c>
    </row>
    <row r="168" spans="2:7" x14ac:dyDescent="0.2">
      <c r="B168" s="26" t="s">
        <v>13</v>
      </c>
      <c r="C168" s="74">
        <f>'NG Parameters'!B31/100</f>
        <v>1.5E-3</v>
      </c>
      <c r="D168" s="56"/>
      <c r="G168" s="59"/>
    </row>
    <row r="169" spans="2:7" x14ac:dyDescent="0.2">
      <c r="B169" s="26" t="s">
        <v>12</v>
      </c>
      <c r="C169" s="17">
        <f>'NG Parameters'!B27</f>
        <v>821</v>
      </c>
      <c r="D169" s="4" t="s">
        <v>105</v>
      </c>
      <c r="G169" s="59"/>
    </row>
    <row r="170" spans="2:7" x14ac:dyDescent="0.2">
      <c r="B170" s="26" t="s">
        <v>171</v>
      </c>
      <c r="C170" s="17">
        <f>'NG Parameters'!B28/2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Parameters'!B30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Parameters'!B26/100</f>
        <v>0.1</v>
      </c>
      <c r="G175" s="59"/>
    </row>
    <row r="176" spans="2:7" x14ac:dyDescent="0.2">
      <c r="B176" s="48"/>
      <c r="G176" s="59"/>
    </row>
    <row r="177" spans="1:7" x14ac:dyDescent="0.2">
      <c r="A177" s="2" t="s">
        <v>91</v>
      </c>
      <c r="B177" s="73" t="s">
        <v>96</v>
      </c>
      <c r="C177" s="58">
        <f>'NG Parameters'!B34/100</f>
        <v>8.9999999999999998E-4</v>
      </c>
      <c r="E177" s="56">
        <f>C177*10^6/C$158*10^3/(C$157*10^6)*C$159*1000</f>
        <v>0.12300755458202742</v>
      </c>
      <c r="F177" s="59">
        <f>E177/'NG Parameters'!$B$42*10^6*0.000948</f>
        <v>1.5974131745720817E-2</v>
      </c>
      <c r="G177" s="87">
        <f>F177*Conversions!$B$7</f>
        <v>0.57506874284594944</v>
      </c>
    </row>
    <row r="178" spans="1:7" x14ac:dyDescent="0.2">
      <c r="B178" s="76" t="s">
        <v>97</v>
      </c>
      <c r="C178" s="58">
        <f>'NG Parameters'!B39/100</f>
        <v>2.9999999999999997E-4</v>
      </c>
      <c r="E178" s="56">
        <f>C178*10^6/C$158*10^3/(C$157*10^6)*C$159*1000</f>
        <v>4.100251819400913E-2</v>
      </c>
      <c r="F178" s="59">
        <f>E178/'NG Parameters'!$B$42*10^6*0.000948</f>
        <v>5.3247105819069383E-3</v>
      </c>
      <c r="G178" s="87">
        <f>F178*Conversions!$B$7</f>
        <v>0.19168958094864977</v>
      </c>
    </row>
    <row r="179" spans="1:7" x14ac:dyDescent="0.2">
      <c r="B179" s="76" t="s">
        <v>98</v>
      </c>
      <c r="C179" s="58">
        <f>'NG Parameters'!B40/100</f>
        <v>2.9999999999999997E-4</v>
      </c>
      <c r="E179" s="56">
        <f>C179*10^6/C$158*10^3/(C$157*10^6)*C$159*1000</f>
        <v>4.100251819400913E-2</v>
      </c>
      <c r="F179" s="59">
        <f>E179/'NG Parameters'!$B$42*10^6*0.000948</f>
        <v>5.3247105819069383E-3</v>
      </c>
      <c r="G179" s="87">
        <f>F179*Conversions!$B$7</f>
        <v>0.19168958094864977</v>
      </c>
    </row>
    <row r="180" spans="1:7" x14ac:dyDescent="0.2">
      <c r="B180" s="76" t="s">
        <v>99</v>
      </c>
      <c r="C180" s="58">
        <f>'NG Parameters'!B41/100</f>
        <v>2.9999999999999997E-4</v>
      </c>
      <c r="E180" s="56">
        <f>C180*10^6/C$158*10^3/(C$157*10^6)*C$159*1000</f>
        <v>4.100251819400913E-2</v>
      </c>
      <c r="F180" s="59">
        <f>E180/'NG Parameters'!$B$42*10^6*0.000948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87"/>
    </row>
    <row r="186" spans="1:7" s="80" customFormat="1" x14ac:dyDescent="0.2">
      <c r="B186" s="73" t="s">
        <v>94</v>
      </c>
      <c r="C186" s="82">
        <f>'NG Parameters'!B24/100</f>
        <v>9.300000000000001E-3</v>
      </c>
      <c r="D186" s="58">
        <f>'NG Parameters'!B22/100</f>
        <v>0.1</v>
      </c>
      <c r="E186" s="84">
        <f>D186*C186*10^6/C$158/C$157*C$159</f>
        <v>0.12710780640142835</v>
      </c>
      <c r="F186" s="59">
        <f>E186/'NG Parameters'!$B$42*10^6*0.000948</f>
        <v>1.6506602803911516E-2</v>
      </c>
      <c r="G186" s="87">
        <f>F186*Conversions!$B$7</f>
        <v>0.59423770094081463</v>
      </c>
    </row>
    <row r="187" spans="1:7" s="80" customFormat="1" x14ac:dyDescent="0.2">
      <c r="B187" s="85" t="s">
        <v>95</v>
      </c>
      <c r="C187" s="82">
        <f>'NG Parameters'!B32/100</f>
        <v>1.7000000000000001E-2</v>
      </c>
      <c r="D187" s="83"/>
      <c r="E187" s="86">
        <f>C187/C157*10^6/C$158*C$174*(1-C$175)*C$159</f>
        <v>4.7615834829808891E-2</v>
      </c>
      <c r="F187" s="59">
        <f>E187/'NG Parameters'!$B$42*10^6*0.000948</f>
        <v>6.1835358107751818E-3</v>
      </c>
      <c r="G187" s="87">
        <f>F187*Conversions!$B$7</f>
        <v>0.22260728918790654</v>
      </c>
    </row>
    <row r="188" spans="1:7" x14ac:dyDescent="0.2">
      <c r="B188" s="73" t="s">
        <v>96</v>
      </c>
      <c r="C188" s="82">
        <f>'NG Parameters'!B37/100</f>
        <v>9.300000000000001E-3</v>
      </c>
      <c r="D188" s="58">
        <f>'NG Parameters'!B35/100</f>
        <v>1.1000000000000001E-2</v>
      </c>
      <c r="E188" s="84">
        <f>D188*C188*10^6/C$158/C$157*C$159</f>
        <v>1.3981858704157118E-2</v>
      </c>
      <c r="F188" s="59">
        <f>E188/'NG Parameters'!$B$42*10^6*0.000948</f>
        <v>1.8157263084302667E-3</v>
      </c>
      <c r="G188" s="87">
        <f>F188*Conversions!$B$7</f>
        <v>6.5366147103489605E-2</v>
      </c>
    </row>
    <row r="189" spans="1:7" s="80" customFormat="1" x14ac:dyDescent="0.2">
      <c r="B189" s="55"/>
      <c r="C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Parameters'!B25/100</f>
        <v>0.05</v>
      </c>
      <c r="D193" s="204">
        <f>'NG Parameters'!$B$23/100</f>
        <v>3.0000000000000001E-3</v>
      </c>
      <c r="E193" s="84">
        <f>D193*C193*10^6/C$158/C$157*C$159</f>
        <v>2.0501259097004568E-2</v>
      </c>
      <c r="F193" s="207">
        <f>E193/'NG Parameters'!$B$42*10^6*0.000948</f>
        <v>2.6623552909534696E-3</v>
      </c>
      <c r="G193" s="208">
        <f>F193*Conversions!$B$7</f>
        <v>9.5844790474324898E-2</v>
      </c>
    </row>
    <row r="194" spans="1:7" x14ac:dyDescent="0.2">
      <c r="B194" s="73" t="s">
        <v>96</v>
      </c>
      <c r="C194" s="203">
        <f>'NG Parameters'!B38/100</f>
        <v>0.05</v>
      </c>
      <c r="D194" s="204">
        <f>'NG Parameters'!$B$36/100</f>
        <v>8.9999999999999998E-4</v>
      </c>
      <c r="E194" s="84">
        <f>D194*C194*10^6/C$158/C$157*C$159</f>
        <v>6.1503777291013707E-3</v>
      </c>
      <c r="F194" s="207">
        <f>E194/'NG Parameters'!$B$42*10^6*0.000948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Parameters'!$B$44="No",D199,E199)</f>
        <v>1390.4490276194076</v>
      </c>
      <c r="D199" s="148">
        <f>C215/C220*10^12</f>
        <v>1390.4490276194076</v>
      </c>
      <c r="E199" s="148">
        <f>D199*(1+'NG Parameters'!$B$45/100)</f>
        <v>1529.4939303813485</v>
      </c>
    </row>
    <row r="200" spans="1:7" x14ac:dyDescent="0.2">
      <c r="B200" s="43" t="s">
        <v>50</v>
      </c>
      <c r="C200" s="63">
        <f>IF('NG Parameters'!$B$44="No",D200,E200)</f>
        <v>1.3181456781831984</v>
      </c>
      <c r="D200" s="148">
        <f>D199*Conversions!$B$8</f>
        <v>1.3181456781831984</v>
      </c>
      <c r="E200" s="148">
        <f>D200*(1+'NG Parameters'!$B$45/100)</f>
        <v>1.4499602460015184</v>
      </c>
    </row>
    <row r="201" spans="1:7" x14ac:dyDescent="0.2">
      <c r="A201" s="2" t="s">
        <v>91</v>
      </c>
      <c r="B201" s="43" t="s">
        <v>51</v>
      </c>
      <c r="C201" s="63">
        <f>IF('NG Parameters'!$B$44="No",D201,E201)</f>
        <v>10.150277901621676</v>
      </c>
      <c r="D201" s="148">
        <f>D199*C$203/10^6</f>
        <v>10.150277901621676</v>
      </c>
      <c r="E201" s="148">
        <f>D201*(1+'NG Parameters'!$B$45/100)</f>
        <v>11.165305691783844</v>
      </c>
    </row>
    <row r="203" spans="1:7" ht="16" x14ac:dyDescent="0.2">
      <c r="B203" s="9" t="s">
        <v>44</v>
      </c>
      <c r="C203" s="104">
        <f>'NG Parameters'!B$42</f>
        <v>7300</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Parameters'!$B50/100*44/16</f>
        <v>44.459823855473147</v>
      </c>
      <c r="E206" s="141"/>
    </row>
    <row r="207" spans="1:7" x14ac:dyDescent="0.2">
      <c r="B207" s="80" t="s">
        <v>23</v>
      </c>
      <c r="D207" s="87">
        <f>SUM(C205:D206)</f>
        <v>44.950622926269482</v>
      </c>
      <c r="E207" s="56"/>
      <c r="F207" s="87"/>
    </row>
    <row r="208" spans="1:7" x14ac:dyDescent="0.2">
      <c r="B208" s="80"/>
      <c r="C208" s="87"/>
      <c r="D208" s="2"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Parameters'!B19</f>
        <v>4.6245496837725802E-2</v>
      </c>
      <c r="D213" s="165" t="s">
        <v>342</v>
      </c>
    </row>
    <row r="214" spans="1:6" x14ac:dyDescent="0.2">
      <c r="B214" s="164" t="s">
        <v>344</v>
      </c>
      <c r="C214" s="17">
        <f>'NG Parameters'!B10+'NG Parameters'!B13</f>
        <v>972.04135999999994</v>
      </c>
      <c r="D214" s="170" t="s">
        <v>321</v>
      </c>
    </row>
    <row r="215" spans="1:6" x14ac:dyDescent="0.2">
      <c r="B215" s="172" t="s">
        <v>345</v>
      </c>
      <c r="C215" s="87">
        <f>C213*C$214</f>
        <v>44.952535640018688</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Parameters'!$B$44="No",D225,E225)</f>
        <v>7504.386786116117</v>
      </c>
      <c r="D225" s="148">
        <f>D227/'NG Parameters'!$B$42*10^6</f>
        <v>7504.386786116117</v>
      </c>
      <c r="E225" s="148">
        <f>D225*(1+'NG Parameters'!$B$45/100)</f>
        <v>8254.8254647277299</v>
      </c>
    </row>
    <row r="226" spans="2:6" x14ac:dyDescent="0.2">
      <c r="B226" s="43" t="s">
        <v>50</v>
      </c>
      <c r="C226" s="68">
        <f>IF('NG Parameters'!$B$44="No",D226,E226)</f>
        <v>7.1141586732380784</v>
      </c>
      <c r="D226" s="148">
        <f>D225*Conversions!$B$8</f>
        <v>7.1141586732380784</v>
      </c>
      <c r="E226" s="148">
        <f>D226*(1+'NG Parameters'!$B$45/100)</f>
        <v>7.8255745405618873</v>
      </c>
    </row>
    <row r="227" spans="2:6" x14ac:dyDescent="0.2">
      <c r="B227" s="43" t="s">
        <v>51</v>
      </c>
      <c r="C227" s="68">
        <f>IF('NG Parameters'!$B$44="No",D227,E227)</f>
        <v>54.78202353864765</v>
      </c>
      <c r="D227" s="148">
        <f>SUM(E249:E250)+SUM(E236:E245)</f>
        <v>54.78202353864765</v>
      </c>
      <c r="E227" s="148">
        <f>D227*(1+'NG Parameters'!$B$45/100)</f>
        <v>60.260225892512416</v>
      </c>
    </row>
    <row r="228" spans="2:6" x14ac:dyDescent="0.2">
      <c r="B228" s="46"/>
      <c r="C228" s="69"/>
    </row>
    <row r="229" spans="2:6" ht="16" x14ac:dyDescent="0.2">
      <c r="B229" s="9" t="s">
        <v>44</v>
      </c>
      <c r="C229" s="104">
        <f>'NG Parameters'!B$42</f>
        <v>7300</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Parameters'!B22/100</f>
        <v>0.1</v>
      </c>
      <c r="E236" s="93">
        <f>C236*C$230/10^3*C$231*C$229</f>
        <v>38.624299999999998</v>
      </c>
      <c r="F236" s="133">
        <f>E236/'NG Parameters'!$B$42*10^6*0.000948</f>
        <v>5.0158679999999993</v>
      </c>
    </row>
    <row r="237" spans="2:6" s="66" customFormat="1" x14ac:dyDescent="0.2">
      <c r="B237" s="73" t="s">
        <v>95</v>
      </c>
      <c r="C237" s="92"/>
      <c r="E237" s="93">
        <f>C$241*C$243/(C$242*C$238/10^6*C$239*C$240*10^3)*C$229</f>
        <v>10.402702838647645</v>
      </c>
      <c r="F237" s="133">
        <f>E237/'NG Parameters'!$B$42*10^6*0.000948</f>
        <v>1.3509263412380776</v>
      </c>
    </row>
    <row r="238" spans="2:6" s="66" customFormat="1" x14ac:dyDescent="0.2">
      <c r="B238" s="113" t="s">
        <v>24</v>
      </c>
      <c r="C238" s="17">
        <f>'NG Parameters'!B$43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Parameters'!B28</f>
        <v>20000</v>
      </c>
      <c r="D241" s="26" t="s">
        <v>64</v>
      </c>
      <c r="E241" s="2" t="s">
        <v>173</v>
      </c>
    </row>
    <row r="242" spans="1:6" s="66" customFormat="1" x14ac:dyDescent="0.2">
      <c r="B242" s="113" t="s">
        <v>121</v>
      </c>
      <c r="C242" s="17">
        <f>'NG Parameters'!B29</f>
        <v>260000</v>
      </c>
      <c r="D242" s="26" t="s">
        <v>122</v>
      </c>
      <c r="E242" s="93"/>
    </row>
    <row r="243" spans="1:6" s="66" customFormat="1" x14ac:dyDescent="0.2">
      <c r="B243" s="113" t="s">
        <v>85</v>
      </c>
      <c r="C243" s="17">
        <f>'NG Parameters'!B33</f>
        <v>407</v>
      </c>
      <c r="D243" s="26" t="s">
        <v>123</v>
      </c>
      <c r="E243" s="93"/>
    </row>
    <row r="244" spans="1:6" s="66" customFormat="1" x14ac:dyDescent="0.2">
      <c r="B244" s="73" t="s">
        <v>96</v>
      </c>
      <c r="C244" s="92">
        <f>'NG Parameters'!B35/100</f>
        <v>1.1000000000000001E-2</v>
      </c>
      <c r="E244" s="93">
        <f>C244*C$230/10^3*C$231*C$229</f>
        <v>4.248673000000001</v>
      </c>
      <c r="F244" s="133">
        <f>E244/'NG Parameters'!$B$42*10^6*0.000948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94">
        <f>'NG Parameters'!$B$23/100</f>
        <v>3.0000000000000001E-3</v>
      </c>
      <c r="E249" s="93">
        <f>C249*C$230/10^3*C$231*C$229</f>
        <v>1.1587289999999999</v>
      </c>
      <c r="F249" s="87">
        <f>E249/'NG Parameters'!$B$42*10^6*0.000948</f>
        <v>0.15047603999999998</v>
      </c>
    </row>
    <row r="250" spans="1:6" s="80" customFormat="1" x14ac:dyDescent="0.2">
      <c r="B250" s="81" t="s">
        <v>96</v>
      </c>
      <c r="C250" s="94">
        <f>'NG Parameters'!$B$36/100</f>
        <v>8.9999999999999998E-4</v>
      </c>
      <c r="E250" s="93">
        <f>C250*C$230/10^3*C$231*C$229</f>
        <v>0.34761869999999995</v>
      </c>
      <c r="F250" s="87">
        <f>E250/'NG Parameters'!$B$42*10^6*0.000948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Parameters'!$B$44="No",D254,E254)</f>
        <v>52910</v>
      </c>
      <c r="D254" s="145">
        <f>C256/C$258*10^6</f>
        <v>52910</v>
      </c>
      <c r="E254" s="145">
        <f>D254*(1-'NG Parameters'!$B$46/100)*(1+'NG Parameters'!$B$45/100)</f>
        <v>5820.0999999999995</v>
      </c>
    </row>
    <row r="255" spans="1:6" x14ac:dyDescent="0.2">
      <c r="B255" s="43" t="s">
        <v>50</v>
      </c>
      <c r="C255" s="63">
        <f>IF('NG Parameters'!$B$44="No",D255,E255)</f>
        <v>50.158679999999997</v>
      </c>
      <c r="D255" s="145">
        <f>C254*Conversions!$B$8</f>
        <v>50.158679999999997</v>
      </c>
      <c r="E255" s="145">
        <f>D255*(1-'NG Parameters'!$B$46/100)*(1+'NG Parameters'!$B$45/100)</f>
        <v>5.5174547999999985</v>
      </c>
    </row>
    <row r="256" spans="1:6" x14ac:dyDescent="0.2">
      <c r="B256" s="43" t="s">
        <v>51</v>
      </c>
      <c r="C256" s="63">
        <f>IF('NG Parameters'!$B$44="No",D256,E256)</f>
        <v>386.24299999999999</v>
      </c>
      <c r="D256" s="145">
        <f>C258*C261/10^3</f>
        <v>386.24299999999999</v>
      </c>
      <c r="E256" s="145">
        <f>D256*(1-'NG Parameters'!$B$46/100)*(1+'NG Parameters'!$B$45/100)</f>
        <v>42.486729999999994</v>
      </c>
    </row>
    <row r="258" spans="1:5" x14ac:dyDescent="0.2">
      <c r="B258" s="2" t="s">
        <v>44</v>
      </c>
      <c r="C258" s="57">
        <f>'NG Parameters'!B$42</f>
        <v>7300</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D4C42F29-EC6B-D340-A8A4-F6A8ABEF7323}"/>
    <hyperlink ref="E51" r:id="rId2" xr:uid="{9B3F0A2D-6A0F-4949-8354-F8D85C6942E9}"/>
    <hyperlink ref="E50" r:id="rId3" xr:uid="{3A83EA9B-7BAC-3744-AF60-74C84A267BD4}"/>
    <hyperlink ref="F140" r:id="rId4" xr:uid="{B084D8F7-DE35-F84C-91F5-1D2A87B52C1F}"/>
    <hyperlink ref="F143" r:id="rId5" xr:uid="{4BBA715C-3EB7-7E4B-B368-C954EFC7A881}"/>
    <hyperlink ref="F142" r:id="rId6" xr:uid="{77585C6B-BBE2-FE46-92AB-2198A3B7339B}"/>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39A1A-4F0E-C141-8736-71211D60D912}">
  <sheetPr codeName="Sheet24"/>
  <dimension ref="A1:R262"/>
  <sheetViews>
    <sheetView zoomScale="90" zoomScaleNormal="79" workbookViewId="0">
      <selection activeCell="D4" sqref="D4"/>
    </sheetView>
  </sheetViews>
  <sheetFormatPr baseColWidth="10" defaultColWidth="31.83203125" defaultRowHeight="15" x14ac:dyDescent="0.2"/>
  <cols>
    <col min="1" max="1" width="21.5" style="2" customWidth="1"/>
    <col min="2" max="2" width="41.5" style="2" bestFit="1" customWidth="1"/>
    <col min="3" max="3" width="33.6640625" style="2" customWidth="1"/>
    <col min="4" max="4" width="24.6640625" style="2" customWidth="1"/>
    <col min="5" max="5" width="31.83203125" style="2"/>
    <col min="6" max="6" width="14.1640625" style="2" customWidth="1"/>
    <col min="7" max="8" width="18.6640625" style="2" customWidth="1"/>
    <col min="9" max="9" width="19.6640625" style="2" customWidth="1"/>
    <col min="10" max="10" width="27.6640625" style="2" customWidth="1"/>
    <col min="11" max="11" width="23.33203125" style="2" customWidth="1"/>
    <col min="12"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Parameters'!$C$44="No",F4,I4)</f>
        <v>404.32999468948043</v>
      </c>
      <c r="D4" s="45">
        <f>IF('NG Parameters'!$C$44="No",G4,J4)</f>
        <v>14555.879808821295</v>
      </c>
      <c r="E4" s="45">
        <f>IF('NG Parameters'!$C$44="No",H4,K4)</f>
        <v>35176.709537984796</v>
      </c>
      <c r="F4" s="148">
        <f>C9/C11*C12/C10*10^12</f>
        <v>404.32999468948043</v>
      </c>
      <c r="G4" s="148">
        <f>F4*Conversions!$B$7</f>
        <v>14555.879808821295</v>
      </c>
      <c r="H4" s="148">
        <f>F4*Conversions!$B$6</f>
        <v>35176.709537984796</v>
      </c>
      <c r="I4" s="148">
        <f>F4*(1+'NG Parameters'!$C$45/100)</f>
        <v>444.76299415842851</v>
      </c>
      <c r="J4" s="148">
        <f>G4*(1+'NG Parameters'!$C$45/100)</f>
        <v>16011.467789703425</v>
      </c>
      <c r="K4" s="148">
        <f>H4*(1+'NG Parameters'!$C$45/100)</f>
        <v>38694.380491783282</v>
      </c>
    </row>
    <row r="5" spans="1:11" x14ac:dyDescent="0.2">
      <c r="B5" s="43" t="s">
        <v>50</v>
      </c>
      <c r="C5" s="45">
        <f>IF('NG Parameters'!$C$44="No",F5,I5)</f>
        <v>0.38330483496562745</v>
      </c>
      <c r="D5" s="45">
        <f>IF('NG Parameters'!$C$44="No",G5,J5)</f>
        <v>13.798974058762589</v>
      </c>
      <c r="E5" s="45">
        <f>IF('NG Parameters'!$C$44="No",H5,K5)</f>
        <v>33.347520642009592</v>
      </c>
      <c r="F5" s="148">
        <f>F4*Conversions!$B$8</f>
        <v>0.38330483496562745</v>
      </c>
      <c r="G5" s="148">
        <f>F5*Conversions!$B$7</f>
        <v>13.798974058762589</v>
      </c>
      <c r="H5" s="148">
        <f>F5*Conversions!$B$6</f>
        <v>33.347520642009592</v>
      </c>
      <c r="I5" s="148">
        <f>F5*(1+'NG Parameters'!$C$45/100)</f>
        <v>0.42163531846219021</v>
      </c>
      <c r="J5" s="148">
        <f>G5*(1+'NG Parameters'!$C$45/100)</f>
        <v>15.178871464638849</v>
      </c>
      <c r="K5" s="148">
        <f>H5*(1+'NG Parameters'!$C$45/100)</f>
        <v>36.682272706210554</v>
      </c>
    </row>
    <row r="6" spans="1:11" x14ac:dyDescent="0.2">
      <c r="B6" s="43" t="s">
        <v>51</v>
      </c>
      <c r="C6" s="45">
        <f>IF('NG Parameters'!$C$44="No",F6,I6)</f>
        <v>2.951608961233207</v>
      </c>
      <c r="D6" s="45">
        <f>IF('NG Parameters'!$C$44="No",G6,J6)</f>
        <v>106.25792260439545</v>
      </c>
      <c r="E6" s="45">
        <f>IF('NG Parameters'!$C$44="No",H6,K6)</f>
        <v>256.78997962728903</v>
      </c>
      <c r="F6" s="148">
        <f>F4*C$8/10^6</f>
        <v>2.951608961233207</v>
      </c>
      <c r="G6" s="148">
        <f>F6*Conversions!$B$7</f>
        <v>106.25792260439545</v>
      </c>
      <c r="H6" s="148">
        <f>F6*Conversions!$B$6</f>
        <v>256.78997962728903</v>
      </c>
      <c r="I6" s="148">
        <f>F6*(1+'NG Parameters'!$C$45/100)</f>
        <v>3.246769857356528</v>
      </c>
      <c r="J6" s="148">
        <f>G6*(1+'NG Parameters'!$C$45/100)</f>
        <v>116.883714864835</v>
      </c>
      <c r="K6" s="148">
        <f>H6*(1+'NG Parameters'!$C$45/100)</f>
        <v>282.46897759001797</v>
      </c>
    </row>
    <row r="7" spans="1:11" x14ac:dyDescent="0.2">
      <c r="B7" s="46"/>
      <c r="C7" s="47"/>
    </row>
    <row r="8" spans="1:11" ht="16" x14ac:dyDescent="0.2">
      <c r="B8" s="9" t="s">
        <v>44</v>
      </c>
      <c r="C8" s="104">
        <f>'NG Parameters'!C$42</f>
        <v>7300</v>
      </c>
      <c r="D8" s="26" t="s">
        <v>45</v>
      </c>
    </row>
    <row r="9" spans="1:11" x14ac:dyDescent="0.2">
      <c r="B9" s="27" t="s">
        <v>218</v>
      </c>
      <c r="C9" s="158">
        <f>'NG Parameters'!C4/100</f>
        <v>2.2732434041712608E-2</v>
      </c>
      <c r="D9" s="27"/>
    </row>
    <row r="10" spans="1:11" x14ac:dyDescent="0.2">
      <c r="B10" s="27" t="s">
        <v>24</v>
      </c>
      <c r="C10" s="50">
        <f>'NG Parameters'!C$43</f>
        <v>1037</v>
      </c>
      <c r="D10" s="26" t="s">
        <v>25</v>
      </c>
    </row>
    <row r="11" spans="1:11" ht="16" x14ac:dyDescent="0.2">
      <c r="B11" s="5" t="s">
        <v>100</v>
      </c>
      <c r="C11" s="103">
        <f>Conversions!B$2</f>
        <v>51505.644797356501</v>
      </c>
      <c r="D11" s="120" t="s">
        <v>101</v>
      </c>
    </row>
    <row r="12" spans="1:11" x14ac:dyDescent="0.2">
      <c r="B12" s="27" t="s">
        <v>224</v>
      </c>
      <c r="C12" s="51">
        <f>'NG Parameters'!C52/100</f>
        <v>0.95</v>
      </c>
      <c r="D12" s="27"/>
    </row>
    <row r="13" spans="1:11" x14ac:dyDescent="0.2">
      <c r="B13" s="25"/>
      <c r="C13" s="52"/>
      <c r="D13" s="22"/>
    </row>
    <row r="14" spans="1:11" x14ac:dyDescent="0.2">
      <c r="B14" s="27" t="s">
        <v>186</v>
      </c>
      <c r="C14" s="52"/>
      <c r="D14" s="22"/>
      <c r="G14" s="165" t="s">
        <v>396</v>
      </c>
    </row>
    <row r="15" spans="1:11" x14ac:dyDescent="0.2">
      <c r="C15" s="53" t="s">
        <v>21</v>
      </c>
      <c r="D15" s="53" t="s">
        <v>18</v>
      </c>
      <c r="F15" s="80"/>
      <c r="G15" s="165" t="s">
        <v>278</v>
      </c>
      <c r="H15" s="165" t="s">
        <v>389</v>
      </c>
      <c r="I15" s="165" t="s">
        <v>279</v>
      </c>
    </row>
    <row r="16" spans="1:11" x14ac:dyDescent="0.2">
      <c r="B16" s="80" t="s">
        <v>22</v>
      </c>
      <c r="C16" s="80"/>
      <c r="D16" s="229" t="s">
        <v>389</v>
      </c>
      <c r="E16" s="3" t="s">
        <v>166</v>
      </c>
    </row>
    <row r="17" spans="2:12" x14ac:dyDescent="0.2">
      <c r="B17" s="55" t="s">
        <v>39</v>
      </c>
      <c r="C17" s="226">
        <f>SUM(C18:C19)*E17*J31</f>
        <v>2.8178611804505111</v>
      </c>
      <c r="D17" s="226">
        <f>HLOOKUP(D16,G15:I21,3,FALSE)*E17*J31</f>
        <v>6.487604599003002</v>
      </c>
      <c r="E17" s="119">
        <f>'NG Parameters'!C$5/100</f>
        <v>0.6</v>
      </c>
      <c r="G17" s="2">
        <v>6</v>
      </c>
      <c r="H17" s="2">
        <v>7.6</v>
      </c>
      <c r="I17" s="165">
        <v>9.6</v>
      </c>
    </row>
    <row r="18" spans="2:12" x14ac:dyDescent="0.2">
      <c r="B18" s="55" t="s">
        <v>7</v>
      </c>
      <c r="C18" s="226">
        <v>1.891548</v>
      </c>
      <c r="D18" s="226"/>
      <c r="E18" s="118"/>
      <c r="H18" s="165"/>
      <c r="I18" s="62"/>
    </row>
    <row r="19" spans="2:12" x14ac:dyDescent="0.2">
      <c r="B19" s="55" t="s">
        <v>4</v>
      </c>
      <c r="C19" s="226">
        <v>1.4094770000000001</v>
      </c>
      <c r="D19" s="226"/>
      <c r="E19" s="139"/>
      <c r="I19" s="62"/>
    </row>
    <row r="20" spans="2:12" x14ac:dyDescent="0.2">
      <c r="B20" s="55" t="s">
        <v>19</v>
      </c>
      <c r="C20" s="226">
        <v>1.390566</v>
      </c>
      <c r="D20" s="226">
        <f>HLOOKUP(D16,G15:I21,6,FALSE)</f>
        <v>2.6</v>
      </c>
      <c r="E20" s="3"/>
      <c r="G20" s="2">
        <v>2.4</v>
      </c>
      <c r="H20" s="165">
        <v>2.6</v>
      </c>
      <c r="I20" s="62">
        <v>3.2</v>
      </c>
    </row>
    <row r="21" spans="2:12" x14ac:dyDescent="0.2">
      <c r="B21" s="55" t="s">
        <v>20</v>
      </c>
      <c r="C21" s="226">
        <v>0.48785400000000001</v>
      </c>
      <c r="D21" s="226">
        <f>HLOOKUP(D16,G15:I21,7,FALSE)</f>
        <v>0.72</v>
      </c>
      <c r="G21" s="56">
        <v>0.65</v>
      </c>
      <c r="H21" s="47">
        <v>0.72</v>
      </c>
      <c r="I21" s="56">
        <v>0.92</v>
      </c>
    </row>
    <row r="22" spans="2:12" x14ac:dyDescent="0.2">
      <c r="B22" s="55" t="s">
        <v>23</v>
      </c>
      <c r="C22" s="226">
        <f>SUM(C17,C20:C21)</f>
        <v>4.6962811804505105</v>
      </c>
      <c r="D22" s="226">
        <f>SUM(D17,D20:D21)</f>
        <v>9.8076045990030032</v>
      </c>
      <c r="G22" s="226">
        <f>SUM(G17,G20:G21)</f>
        <v>9.0500000000000007</v>
      </c>
      <c r="H22" s="226">
        <f t="shared" ref="H22:I22" si="0">SUM(H17,H20:H21)</f>
        <v>10.92</v>
      </c>
      <c r="I22" s="226">
        <f t="shared" si="0"/>
        <v>13.72</v>
      </c>
    </row>
    <row r="23" spans="2:12" x14ac:dyDescent="0.2">
      <c r="B23" s="55"/>
      <c r="C23" s="47"/>
      <c r="D23" s="47"/>
    </row>
    <row r="24" spans="2:12" x14ac:dyDescent="0.2">
      <c r="B24" s="80" t="s">
        <v>38</v>
      </c>
      <c r="C24" s="80"/>
      <c r="D24" s="80"/>
      <c r="E24" s="118" t="s">
        <v>167</v>
      </c>
    </row>
    <row r="25" spans="2:12" x14ac:dyDescent="0.2">
      <c r="B25" s="55" t="s">
        <v>39</v>
      </c>
      <c r="C25" s="47">
        <f>C17*C$11/10^3/E25</f>
        <v>174.86235788981173</v>
      </c>
      <c r="D25" s="47">
        <f>D17*C$11/10^3/E25</f>
        <v>402.5882627252351</v>
      </c>
      <c r="E25" s="119">
        <f>'NG Parameters'!C47/100</f>
        <v>0.83</v>
      </c>
      <c r="I25" s="165" t="s">
        <v>286</v>
      </c>
      <c r="J25" s="165" t="s">
        <v>274</v>
      </c>
      <c r="K25" s="165" t="s">
        <v>277</v>
      </c>
    </row>
    <row r="26" spans="2:12" ht="16" x14ac:dyDescent="0.2">
      <c r="B26" s="55" t="s">
        <v>7</v>
      </c>
      <c r="C26" s="47"/>
      <c r="D26" s="122"/>
      <c r="E26" s="119">
        <f>'NG Parameters'!C47/100</f>
        <v>0.83</v>
      </c>
      <c r="H26" s="165" t="s">
        <v>301</v>
      </c>
      <c r="I26" s="62">
        <v>477513</v>
      </c>
      <c r="J26">
        <v>91290</v>
      </c>
      <c r="K26" s="62">
        <v>95190</v>
      </c>
      <c r="L26" s="165" t="s">
        <v>375</v>
      </c>
    </row>
    <row r="27" spans="2:12" x14ac:dyDescent="0.2">
      <c r="B27" s="55" t="s">
        <v>4</v>
      </c>
      <c r="C27" s="47"/>
      <c r="D27" s="122"/>
      <c r="E27" s="119">
        <f>'NG Parameters'!C48/100</f>
        <v>0.83</v>
      </c>
      <c r="H27" s="165" t="s">
        <v>58</v>
      </c>
      <c r="I27" s="62">
        <v>32000000</v>
      </c>
      <c r="J27" s="62">
        <f>K82</f>
        <v>4300000</v>
      </c>
      <c r="K27" s="62">
        <f>O82</f>
        <v>11400000</v>
      </c>
      <c r="L27" s="165" t="s">
        <v>376</v>
      </c>
    </row>
    <row r="28" spans="2:12" x14ac:dyDescent="0.2">
      <c r="B28" s="55" t="s">
        <v>19</v>
      </c>
      <c r="C28" s="47">
        <f>C20*C$11/10^3/E28</f>
        <v>86.291564413591374</v>
      </c>
      <c r="D28" s="47">
        <f>D20*C$11/10^3/E28</f>
        <v>161.34298370256255</v>
      </c>
      <c r="E28" s="119">
        <f>'NG Parameters'!C47/100</f>
        <v>0.83</v>
      </c>
      <c r="I28" s="62"/>
      <c r="J28" s="62"/>
      <c r="K28" s="62"/>
    </row>
    <row r="29" spans="2:12" x14ac:dyDescent="0.2">
      <c r="B29" s="55" t="s">
        <v>20</v>
      </c>
      <c r="C29" s="47">
        <f>C21*C$11/10^3/E29</f>
        <v>30.273776912011517</v>
      </c>
      <c r="D29" s="47">
        <f>D21*C$11/10^3/E29</f>
        <v>44.679595486863477</v>
      </c>
      <c r="E29" s="119">
        <f>'NG Parameters'!C49/100</f>
        <v>0.83</v>
      </c>
      <c r="H29" s="165" t="s">
        <v>299</v>
      </c>
      <c r="I29" s="62">
        <f>I27/I26</f>
        <v>67.013882344564436</v>
      </c>
      <c r="J29" s="62">
        <f>J27/J26</f>
        <v>47.102639938657028</v>
      </c>
      <c r="K29" s="62">
        <f>K27/K26</f>
        <v>119.76047904191617</v>
      </c>
    </row>
    <row r="30" spans="2:12" x14ac:dyDescent="0.2">
      <c r="B30" s="55" t="s">
        <v>23</v>
      </c>
      <c r="C30" s="47">
        <f>SUM(C25:C29)</f>
        <v>291.42769921541458</v>
      </c>
      <c r="D30" s="47">
        <f>SUM(D25:D29)</f>
        <v>608.61084191466114</v>
      </c>
      <c r="H30" s="165" t="s">
        <v>353</v>
      </c>
      <c r="I30" s="62"/>
      <c r="J30" s="214">
        <f>J29/I29</f>
        <v>0.70287884078212293</v>
      </c>
      <c r="K30" s="214">
        <f>K29/I29</f>
        <v>1.7870995508982037</v>
      </c>
    </row>
    <row r="31" spans="2:12" x14ac:dyDescent="0.2">
      <c r="B31" s="80"/>
      <c r="C31" s="47"/>
      <c r="D31" s="47"/>
      <c r="J31" s="216">
        <f>1/J30</f>
        <v>1.422720306798904</v>
      </c>
      <c r="K31" s="215">
        <f>1/K30</f>
        <v>0.55956591757711305</v>
      </c>
    </row>
    <row r="32" spans="2:12" x14ac:dyDescent="0.2">
      <c r="B32" s="55" t="s">
        <v>192</v>
      </c>
      <c r="C32" s="65"/>
      <c r="D32" s="65"/>
    </row>
    <row r="33" spans="2:5" x14ac:dyDescent="0.2">
      <c r="B33" s="55" t="s">
        <v>39</v>
      </c>
      <c r="C33" s="83">
        <f>C25/$C$52</f>
        <v>5.6088776336786954E-3</v>
      </c>
      <c r="D33" s="83">
        <f>D25/$D$52</f>
        <v>1.5037213434413861E-2</v>
      </c>
    </row>
    <row r="34" spans="2:5" x14ac:dyDescent="0.2">
      <c r="B34" s="55" t="s">
        <v>7</v>
      </c>
      <c r="C34" s="83"/>
      <c r="D34" s="83"/>
    </row>
    <row r="35" spans="2:5" x14ac:dyDescent="0.2">
      <c r="B35" s="55" t="s">
        <v>4</v>
      </c>
      <c r="C35" s="83"/>
      <c r="D35" s="83"/>
    </row>
    <row r="36" spans="2:5" x14ac:dyDescent="0.2">
      <c r="B36" s="55" t="s">
        <v>19</v>
      </c>
      <c r="C36" s="83">
        <f>C28/$C$52</f>
        <v>2.7678845890864944E-3</v>
      </c>
      <c r="D36" s="83">
        <f>D28/$D$52</f>
        <v>6.0263775840291378E-3</v>
      </c>
    </row>
    <row r="37" spans="2:5" x14ac:dyDescent="0.2">
      <c r="B37" s="55" t="s">
        <v>20</v>
      </c>
      <c r="C37" s="83">
        <f>C29/$C$52</f>
        <v>9.7106039434604523E-4</v>
      </c>
      <c r="D37" s="83">
        <f>D29/$D$52</f>
        <v>1.6688430232696075E-3</v>
      </c>
    </row>
    <row r="38" spans="2:5" x14ac:dyDescent="0.2">
      <c r="B38" s="55" t="s">
        <v>23</v>
      </c>
      <c r="C38" s="83">
        <f>C30/$C$52</f>
        <v>9.3478226171112341E-3</v>
      </c>
      <c r="D38" s="83">
        <f>D30/$D$52</f>
        <v>2.2732434041712608E-2</v>
      </c>
    </row>
    <row r="40" spans="2:5" x14ac:dyDescent="0.2">
      <c r="B40" s="55" t="s">
        <v>193</v>
      </c>
      <c r="C40" s="65"/>
      <c r="D40" s="65"/>
    </row>
    <row r="41" spans="2:5" x14ac:dyDescent="0.2">
      <c r="B41" s="55" t="s">
        <v>39</v>
      </c>
      <c r="C41" s="83">
        <f>C25/$C$48</f>
        <v>4.6847912334182706E-3</v>
      </c>
      <c r="D41" s="83">
        <f>D25/$D$48</f>
        <v>1.2231279974694401E-2</v>
      </c>
    </row>
    <row r="42" spans="2:5" x14ac:dyDescent="0.2">
      <c r="B42" s="55" t="s">
        <v>7</v>
      </c>
      <c r="C42" s="83"/>
      <c r="D42" s="83"/>
    </row>
    <row r="43" spans="2:5" x14ac:dyDescent="0.2">
      <c r="B43" s="55" t="s">
        <v>4</v>
      </c>
      <c r="C43" s="83"/>
      <c r="D43" s="83"/>
    </row>
    <row r="44" spans="2:5" x14ac:dyDescent="0.2">
      <c r="B44" s="55" t="s">
        <v>19</v>
      </c>
      <c r="C44" s="83">
        <f t="shared" ref="C44:C45" si="1">C28/$C$48</f>
        <v>2.3118638531540395E-3</v>
      </c>
      <c r="D44" s="83">
        <f t="shared" ref="D44:D45" si="2">D28/$D$48</f>
        <v>4.9018597617821198E-3</v>
      </c>
    </row>
    <row r="45" spans="2:5" x14ac:dyDescent="0.2">
      <c r="B45" s="55" t="s">
        <v>20</v>
      </c>
      <c r="C45" s="83">
        <f t="shared" si="1"/>
        <v>8.1107407215235447E-4</v>
      </c>
      <c r="D45" s="83">
        <f t="shared" si="2"/>
        <v>1.3574380878781254E-3</v>
      </c>
    </row>
    <row r="46" spans="2:5" x14ac:dyDescent="0.2">
      <c r="B46" s="55" t="s">
        <v>23</v>
      </c>
      <c r="C46" s="83">
        <f>C30/$C$48</f>
        <v>7.807729158724663E-3</v>
      </c>
      <c r="D46" s="83">
        <f>D30/$D$48</f>
        <v>1.8490577824354645E-2</v>
      </c>
      <c r="E46" s="131">
        <v>2.75E-2</v>
      </c>
    </row>
    <row r="47" spans="2:5" x14ac:dyDescent="0.2">
      <c r="B47" s="55"/>
      <c r="C47" s="83"/>
      <c r="D47" s="83"/>
    </row>
    <row r="48" spans="2:5" x14ac:dyDescent="0.2">
      <c r="B48" s="46" t="s">
        <v>29</v>
      </c>
      <c r="C48" s="60">
        <v>37325.538999999997</v>
      </c>
      <c r="D48" s="60">
        <v>32914.646999999997</v>
      </c>
      <c r="E48" s="61" t="s">
        <v>32</v>
      </c>
    </row>
    <row r="50" spans="1:5" x14ac:dyDescent="0.2">
      <c r="B50" s="46" t="s">
        <v>26</v>
      </c>
      <c r="C50" s="62">
        <v>27568.156999999999</v>
      </c>
      <c r="D50" s="60">
        <v>24989.285</v>
      </c>
      <c r="E50" s="61" t="s">
        <v>30</v>
      </c>
    </row>
    <row r="51" spans="1:5" x14ac:dyDescent="0.2">
      <c r="B51" s="46" t="s">
        <v>27</v>
      </c>
      <c r="C51" s="62">
        <v>3607.8409999999999</v>
      </c>
      <c r="D51" s="62">
        <v>1783.5119999999999</v>
      </c>
      <c r="E51" s="61" t="s">
        <v>31</v>
      </c>
    </row>
    <row r="52" spans="1:5" x14ac:dyDescent="0.2">
      <c r="B52" s="46" t="s">
        <v>28</v>
      </c>
      <c r="C52" s="62">
        <v>31175.998</v>
      </c>
      <c r="D52" s="62">
        <v>26772.796999999999</v>
      </c>
    </row>
    <row r="53" spans="1:5" x14ac:dyDescent="0.2">
      <c r="B53" s="46" t="s">
        <v>205</v>
      </c>
      <c r="C53" s="136">
        <f>C52/C48</f>
        <v>0.83524575492399455</v>
      </c>
      <c r="D53" s="136">
        <f>D52/D48</f>
        <v>0.81340070273273779</v>
      </c>
    </row>
    <row r="54" spans="1:5" x14ac:dyDescent="0.2">
      <c r="B54" s="46" t="s">
        <v>41</v>
      </c>
      <c r="C54" s="60">
        <f>C52*C10*10^3</f>
        <v>32329509926</v>
      </c>
      <c r="D54" s="60">
        <f>D52*C10*10^3</f>
        <v>27763390489</v>
      </c>
    </row>
    <row r="55" spans="1:5" x14ac:dyDescent="0.2">
      <c r="C55" s="60"/>
      <c r="D55" s="60"/>
    </row>
    <row r="56" spans="1:5" x14ac:dyDescent="0.2">
      <c r="B56" s="46" t="s">
        <v>47</v>
      </c>
      <c r="C56" s="62">
        <f>C22/C54*10^12</f>
        <v>145.26298701093742</v>
      </c>
      <c r="D56" s="62">
        <f>D22/D54*10^12</f>
        <v>353.25673220238815</v>
      </c>
    </row>
    <row r="57" spans="1:5" x14ac:dyDescent="0.2">
      <c r="B57" s="46"/>
      <c r="C57" s="62"/>
      <c r="D57" s="62"/>
    </row>
    <row r="58" spans="1:5" x14ac:dyDescent="0.2">
      <c r="B58" s="46" t="s">
        <v>46</v>
      </c>
      <c r="C58" s="56">
        <f>C56*C8/10^6</f>
        <v>1.0604198051798432</v>
      </c>
      <c r="D58" s="56">
        <f>D56*C8/10^6</f>
        <v>2.5787741450774333</v>
      </c>
    </row>
    <row r="60" spans="1:5" s="39" customFormat="1" x14ac:dyDescent="0.2">
      <c r="A60" s="39" t="s">
        <v>73</v>
      </c>
    </row>
    <row r="61" spans="1:5" x14ac:dyDescent="0.2">
      <c r="B61" s="40" t="s">
        <v>42</v>
      </c>
      <c r="C61" s="41"/>
      <c r="D61" s="146"/>
      <c r="E61" s="146"/>
    </row>
    <row r="62" spans="1:5" x14ac:dyDescent="0.2">
      <c r="B62" s="41"/>
      <c r="C62" s="40" t="s">
        <v>71</v>
      </c>
      <c r="D62" s="144" t="s">
        <v>228</v>
      </c>
      <c r="E62" s="144" t="s">
        <v>225</v>
      </c>
    </row>
    <row r="63" spans="1:5" x14ac:dyDescent="0.2">
      <c r="B63" s="43" t="s">
        <v>49</v>
      </c>
      <c r="C63" s="63">
        <f>IF('NG Parameters'!$C$44="No",D63,E63)</f>
        <v>7811.5299865957131</v>
      </c>
      <c r="D63" s="148">
        <f>SUM(C75:C77)/C82*10^12</f>
        <v>7811.5299865957131</v>
      </c>
      <c r="E63" s="148">
        <f>D63*(1+'NG Parameters'!$C$45/100)</f>
        <v>8592.6829852552855</v>
      </c>
    </row>
    <row r="64" spans="1:5" x14ac:dyDescent="0.2">
      <c r="B64" s="43" t="s">
        <v>50</v>
      </c>
      <c r="C64" s="63">
        <f>IF('NG Parameters'!$C$44="No",D64,E64)</f>
        <v>7.4053304272927356</v>
      </c>
      <c r="D64" s="148">
        <f>D63*Conversions!$B$8</f>
        <v>7.4053304272927356</v>
      </c>
      <c r="E64" s="148">
        <f>D64*(1+'NG Parameters'!$C$45/100)</f>
        <v>8.1458634700220092</v>
      </c>
    </row>
    <row r="65" spans="2:16" x14ac:dyDescent="0.2">
      <c r="B65" s="43" t="s">
        <v>51</v>
      </c>
      <c r="C65" s="63">
        <f>IF('NG Parameters'!$C$44="No",D65,E65)</f>
        <v>57.024168902148709</v>
      </c>
      <c r="D65" s="148">
        <f>D63*C$70/10^6</f>
        <v>57.024168902148709</v>
      </c>
      <c r="E65" s="148">
        <f>D65*(1+'NG Parameters'!$C$45/100)</f>
        <v>62.726585792363586</v>
      </c>
    </row>
    <row r="67" spans="2:16" x14ac:dyDescent="0.2">
      <c r="B67" s="5" t="s">
        <v>243</v>
      </c>
      <c r="C67" s="143">
        <f>'NG Parameters'!C6</f>
        <v>5.8335002413749963</v>
      </c>
      <c r="D67" s="26" t="s">
        <v>216</v>
      </c>
    </row>
    <row r="68" spans="2:16" x14ac:dyDescent="0.2">
      <c r="B68" s="5" t="s">
        <v>244</v>
      </c>
      <c r="C68" s="143">
        <f>'NG Parameters'!C7</f>
        <v>1.9438986803061524</v>
      </c>
      <c r="D68" s="26" t="s">
        <v>216</v>
      </c>
    </row>
    <row r="69" spans="2:16" x14ac:dyDescent="0.2">
      <c r="B69" s="164" t="s">
        <v>373</v>
      </c>
      <c r="C69" s="143">
        <f>'NG Parameters'!C8</f>
        <v>0.32315767441860466</v>
      </c>
      <c r="D69" s="26"/>
    </row>
    <row r="70" spans="2:16" ht="16" x14ac:dyDescent="0.2">
      <c r="B70" s="9" t="s">
        <v>44</v>
      </c>
      <c r="C70" s="104">
        <f>'NG Parameters'!C$42</f>
        <v>7300</v>
      </c>
      <c r="D70" s="5" t="s">
        <v>45</v>
      </c>
    </row>
    <row r="71" spans="2:16" ht="16" x14ac:dyDescent="0.2">
      <c r="B71" s="5" t="s">
        <v>100</v>
      </c>
      <c r="C71" s="103">
        <f>Conversions!B$2</f>
        <v>51505.644797356501</v>
      </c>
      <c r="D71" s="120" t="s">
        <v>101</v>
      </c>
    </row>
    <row r="72" spans="2:16" x14ac:dyDescent="0.2">
      <c r="B72" s="27" t="s">
        <v>24</v>
      </c>
      <c r="C72" s="50">
        <f>'NG Parameters'!C$43</f>
        <v>1037</v>
      </c>
      <c r="D72" s="5" t="s">
        <v>25</v>
      </c>
    </row>
    <row r="73" spans="2:16" ht="16" x14ac:dyDescent="0.2">
      <c r="B73" s="9" t="s">
        <v>126</v>
      </c>
      <c r="C73" s="110">
        <f>Conversions!B$5</f>
        <v>3.6666666666666665</v>
      </c>
      <c r="D73" s="5" t="s">
        <v>116</v>
      </c>
    </row>
    <row r="74" spans="2:16" s="80" customFormat="1" x14ac:dyDescent="0.2">
      <c r="B74" s="20"/>
      <c r="C74" s="106"/>
      <c r="D74" s="19"/>
    </row>
    <row r="75" spans="2:16" x14ac:dyDescent="0.2">
      <c r="B75" s="55" t="s">
        <v>241</v>
      </c>
      <c r="C75" s="62">
        <f>C67*C$81/10^6</f>
        <v>181.86519185810641</v>
      </c>
    </row>
    <row r="76" spans="2:16" x14ac:dyDescent="0.2">
      <c r="B76" s="55" t="s">
        <v>242</v>
      </c>
      <c r="C76" s="62">
        <f>C68*C$81/10^6</f>
        <v>60.602981369427248</v>
      </c>
    </row>
    <row r="77" spans="2:16" x14ac:dyDescent="0.2">
      <c r="B77" s="55" t="s">
        <v>374</v>
      </c>
      <c r="C77" s="62">
        <f>C69*C$81/10^6</f>
        <v>10.074763011359069</v>
      </c>
    </row>
    <row r="78" spans="2:16" x14ac:dyDescent="0.2">
      <c r="B78" s="55" t="s">
        <v>157</v>
      </c>
      <c r="C78" s="65">
        <f>C50</f>
        <v>27568.156999999999</v>
      </c>
      <c r="D78" s="2" t="s">
        <v>81</v>
      </c>
    </row>
    <row r="79" spans="2:16" x14ac:dyDescent="0.2">
      <c r="B79" s="55" t="s">
        <v>158</v>
      </c>
      <c r="C79" s="65">
        <f>C51</f>
        <v>3607.8409999999999</v>
      </c>
      <c r="D79" s="2" t="s">
        <v>81</v>
      </c>
      <c r="K79" s="210" t="s">
        <v>275</v>
      </c>
      <c r="O79" s="165" t="s">
        <v>275</v>
      </c>
    </row>
    <row r="80" spans="2:16" x14ac:dyDescent="0.2">
      <c r="B80" s="55" t="s">
        <v>159</v>
      </c>
      <c r="C80" s="65">
        <f>C52</f>
        <v>31175.998</v>
      </c>
      <c r="D80" s="2" t="s">
        <v>81</v>
      </c>
      <c r="J80" s="165" t="s">
        <v>274</v>
      </c>
      <c r="K80" s="166">
        <f>K82/C81</f>
        <v>0.13792661906124062</v>
      </c>
      <c r="L80" s="167"/>
      <c r="N80" s="165" t="s">
        <v>277</v>
      </c>
      <c r="O80" s="166">
        <f>O82/C81</f>
        <v>0.36566592030189377</v>
      </c>
      <c r="P80" s="167"/>
    </row>
    <row r="81" spans="2:18" x14ac:dyDescent="0.2">
      <c r="B81" s="55" t="s">
        <v>159</v>
      </c>
      <c r="C81" s="65">
        <f>C80*10^3</f>
        <v>31175998</v>
      </c>
      <c r="D81" s="2" t="s">
        <v>215</v>
      </c>
    </row>
    <row r="82" spans="2:18" x14ac:dyDescent="0.2">
      <c r="B82" s="46" t="s">
        <v>41</v>
      </c>
      <c r="C82" s="60">
        <f>C80*C72*10^3</f>
        <v>32329509926</v>
      </c>
      <c r="J82" s="55" t="s">
        <v>159</v>
      </c>
      <c r="K82" s="65">
        <v>4300000</v>
      </c>
      <c r="L82" s="2" t="s">
        <v>215</v>
      </c>
      <c r="N82" s="55" t="s">
        <v>159</v>
      </c>
      <c r="O82" s="65">
        <v>11400000</v>
      </c>
      <c r="P82" s="2" t="s">
        <v>215</v>
      </c>
    </row>
    <row r="83" spans="2:18" x14ac:dyDescent="0.2">
      <c r="B83" s="55" t="s">
        <v>256</v>
      </c>
      <c r="C83" s="122">
        <f>D107/C81</f>
        <v>4.3480490514416106</v>
      </c>
      <c r="D83" s="2" t="s">
        <v>245</v>
      </c>
      <c r="J83" s="55" t="s">
        <v>256</v>
      </c>
      <c r="K83" s="122">
        <f>K107/K$82</f>
        <v>5.8335002413749963</v>
      </c>
      <c r="L83" s="2" t="s">
        <v>245</v>
      </c>
      <c r="N83" s="55" t="s">
        <v>256</v>
      </c>
      <c r="O83" s="122">
        <f>O107/O$82</f>
        <v>2.2965579394367532</v>
      </c>
      <c r="P83" s="2" t="s">
        <v>245</v>
      </c>
      <c r="Q83" s="122"/>
    </row>
    <row r="84" spans="2:18"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c r="Q84" s="122"/>
    </row>
    <row r="85" spans="2:18" x14ac:dyDescent="0.2">
      <c r="B85" s="55" t="s">
        <v>372</v>
      </c>
      <c r="C85" s="122">
        <f>D109/C81</f>
        <v>0.38579227203138206</v>
      </c>
      <c r="D85" s="2" t="s">
        <v>245</v>
      </c>
      <c r="J85" s="55" t="s">
        <v>372</v>
      </c>
      <c r="K85" s="122">
        <f>K109/K$82</f>
        <v>0.32315767441860466</v>
      </c>
      <c r="L85" s="2" t="s">
        <v>245</v>
      </c>
      <c r="N85" s="55"/>
      <c r="O85" s="86">
        <f>O109/O$82</f>
        <v>0.10668070175438599</v>
      </c>
      <c r="Q85" s="122"/>
    </row>
    <row r="86" spans="2:18" x14ac:dyDescent="0.2">
      <c r="B86" s="55"/>
      <c r="C86" s="122"/>
      <c r="Q86" s="165"/>
    </row>
    <row r="87" spans="2:18" x14ac:dyDescent="0.2">
      <c r="B87" s="91" t="s">
        <v>78</v>
      </c>
    </row>
    <row r="88" spans="2:18" x14ac:dyDescent="0.2">
      <c r="B88" s="80"/>
      <c r="C88" s="2" t="s">
        <v>222</v>
      </c>
      <c r="D88" s="2" t="s">
        <v>223</v>
      </c>
      <c r="F88" s="80"/>
      <c r="K88" s="2" t="s">
        <v>222</v>
      </c>
      <c r="L88" s="2" t="s">
        <v>223</v>
      </c>
      <c r="O88" s="2" t="s">
        <v>222</v>
      </c>
      <c r="P88" s="2" t="s">
        <v>223</v>
      </c>
    </row>
    <row r="89" spans="2:18" x14ac:dyDescent="0.2">
      <c r="B89" s="55" t="s">
        <v>247</v>
      </c>
      <c r="E89" s="225" t="s">
        <v>382</v>
      </c>
      <c r="F89" s="165" t="s">
        <v>276</v>
      </c>
      <c r="J89" s="55" t="s">
        <v>247</v>
      </c>
      <c r="N89" s="55" t="s">
        <v>247</v>
      </c>
    </row>
    <row r="90" spans="2:18" x14ac:dyDescent="0.2">
      <c r="B90" s="55" t="s">
        <v>240</v>
      </c>
      <c r="E90" s="3"/>
      <c r="J90" s="55" t="s">
        <v>240</v>
      </c>
      <c r="N90" s="55" t="s">
        <v>240</v>
      </c>
    </row>
    <row r="91" spans="2:18" x14ac:dyDescent="0.2">
      <c r="B91" s="55" t="s">
        <v>248</v>
      </c>
      <c r="E91" s="139"/>
      <c r="J91" s="55" t="s">
        <v>248</v>
      </c>
      <c r="N91" s="55" t="s">
        <v>248</v>
      </c>
    </row>
    <row r="92" spans="2:18" x14ac:dyDescent="0.2">
      <c r="B92" s="55" t="s">
        <v>236</v>
      </c>
      <c r="E92" s="139"/>
      <c r="J92" s="55" t="s">
        <v>236</v>
      </c>
      <c r="N92" s="55" t="s">
        <v>236</v>
      </c>
    </row>
    <row r="93" spans="2:18"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3">D93*$O$80</f>
        <v>1.4714586408932158</v>
      </c>
      <c r="Q93" s="56"/>
      <c r="R93" s="56"/>
    </row>
    <row r="94" spans="2:18"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3"/>
        <v>0</v>
      </c>
      <c r="Q94" s="56"/>
      <c r="R94" s="56"/>
    </row>
    <row r="95" spans="2:18" x14ac:dyDescent="0.2">
      <c r="B95" s="55" t="s">
        <v>367</v>
      </c>
      <c r="C95" s="140">
        <f>0.03456*E93/(1-F93)</f>
        <v>2.6248101265822783E-2</v>
      </c>
      <c r="D95" s="56"/>
      <c r="E95" s="139"/>
      <c r="J95" s="55" t="s">
        <v>367</v>
      </c>
      <c r="K95" s="56">
        <v>0</v>
      </c>
      <c r="L95" s="56"/>
      <c r="N95" s="55" t="s">
        <v>367</v>
      </c>
      <c r="O95" s="56">
        <v>3.339E-3</v>
      </c>
      <c r="P95" s="56">
        <f t="shared" si="3"/>
        <v>0</v>
      </c>
      <c r="Q95" s="56"/>
      <c r="R95" s="56"/>
    </row>
    <row r="96" spans="2:18" x14ac:dyDescent="0.2">
      <c r="B96" s="55" t="s">
        <v>250</v>
      </c>
      <c r="C96" s="140">
        <v>59.269931999999997</v>
      </c>
      <c r="D96" s="56"/>
      <c r="E96" s="139"/>
      <c r="J96" s="55" t="s">
        <v>250</v>
      </c>
      <c r="K96" s="56">
        <v>11.626189</v>
      </c>
      <c r="L96" s="56">
        <f>D96*$K$80</f>
        <v>0</v>
      </c>
      <c r="N96" s="55" t="s">
        <v>250</v>
      </c>
      <c r="O96" s="56">
        <v>8.3213270000000001</v>
      </c>
      <c r="P96" s="56">
        <f t="shared" si="3"/>
        <v>0</v>
      </c>
      <c r="Q96" s="56"/>
      <c r="R96" s="56"/>
    </row>
    <row r="97" spans="1:18" x14ac:dyDescent="0.2">
      <c r="B97" s="55" t="s">
        <v>235</v>
      </c>
      <c r="C97" s="209">
        <v>3.436995</v>
      </c>
      <c r="D97" s="56"/>
      <c r="E97" s="139"/>
      <c r="J97" s="55" t="s">
        <v>235</v>
      </c>
      <c r="K97" s="56">
        <v>1.438299</v>
      </c>
      <c r="L97" s="56">
        <f>D97*$K$80</f>
        <v>0</v>
      </c>
      <c r="N97" s="55" t="s">
        <v>235</v>
      </c>
      <c r="O97" s="56">
        <v>8.6674000000000001E-2</v>
      </c>
      <c r="P97" s="56">
        <f t="shared" si="3"/>
        <v>0</v>
      </c>
      <c r="Q97" s="56"/>
      <c r="R97" s="56"/>
    </row>
    <row r="98" spans="1:18" x14ac:dyDescent="0.2">
      <c r="B98" s="55" t="s">
        <v>368</v>
      </c>
      <c r="C98" s="140">
        <v>0.60960199999999998</v>
      </c>
      <c r="D98" s="56"/>
      <c r="E98" s="139"/>
      <c r="J98" s="55" t="s">
        <v>368</v>
      </c>
      <c r="K98" s="56">
        <v>0.14707300000000001</v>
      </c>
      <c r="L98" s="56"/>
      <c r="N98" s="55" t="s">
        <v>368</v>
      </c>
      <c r="O98" s="56">
        <v>2.4684999999999999E-2</v>
      </c>
      <c r="P98" s="56">
        <f t="shared" si="3"/>
        <v>0</v>
      </c>
      <c r="Q98" s="56"/>
      <c r="R98" s="56"/>
    </row>
    <row r="99" spans="1:18"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3"/>
        <v>14.284952359825015</v>
      </c>
      <c r="Q99" s="56"/>
      <c r="R99" s="56"/>
    </row>
    <row r="100" spans="1:18" ht="16" x14ac:dyDescent="0.2">
      <c r="B100" s="55" t="s">
        <v>237</v>
      </c>
      <c r="C100" s="140">
        <v>4.1193470000000003</v>
      </c>
      <c r="D100" s="56"/>
      <c r="E100" s="118"/>
      <c r="F100" s="3"/>
      <c r="J100" s="55" t="s">
        <v>237</v>
      </c>
      <c r="K100" s="180">
        <v>1.5641233000000001</v>
      </c>
      <c r="L100" s="56">
        <f>D100*$K$80</f>
        <v>0</v>
      </c>
      <c r="N100" s="55" t="s">
        <v>237</v>
      </c>
      <c r="O100" s="213">
        <v>0.20107700000000001</v>
      </c>
      <c r="P100" s="56"/>
      <c r="Q100" s="56"/>
      <c r="R100" s="56"/>
    </row>
    <row r="101" spans="1:18" x14ac:dyDescent="0.2">
      <c r="B101" s="55" t="s">
        <v>369</v>
      </c>
      <c r="C101" s="140">
        <v>11.391609000000001</v>
      </c>
      <c r="D101" s="56"/>
      <c r="E101" s="118"/>
      <c r="F101" s="3"/>
      <c r="J101" s="55" t="s">
        <v>369</v>
      </c>
      <c r="K101" s="56">
        <v>1.242505</v>
      </c>
      <c r="L101" s="56"/>
      <c r="N101" s="55" t="s">
        <v>369</v>
      </c>
      <c r="O101" s="213">
        <v>1.1881360000000001</v>
      </c>
      <c r="P101" s="56"/>
      <c r="Q101" s="47"/>
    </row>
    <row r="102" spans="1:18" x14ac:dyDescent="0.2">
      <c r="B102" s="55" t="s">
        <v>252</v>
      </c>
      <c r="C102" s="140"/>
      <c r="E102" s="119">
        <f>'NG Parameters'!B47/100</f>
        <v>0.83</v>
      </c>
      <c r="F102" s="64">
        <v>1248.046</v>
      </c>
      <c r="G102" s="2" t="s">
        <v>79</v>
      </c>
      <c r="J102" s="55" t="s">
        <v>252</v>
      </c>
      <c r="K102" s="56">
        <v>3.1604E-2</v>
      </c>
      <c r="L102" s="56">
        <f>D102*$K$80</f>
        <v>0</v>
      </c>
      <c r="N102" s="55" t="s">
        <v>252</v>
      </c>
      <c r="O102" s="213"/>
      <c r="P102" s="56"/>
      <c r="Q102" s="47"/>
    </row>
    <row r="103" spans="1:18" x14ac:dyDescent="0.2">
      <c r="B103" s="55" t="s">
        <v>253</v>
      </c>
      <c r="C103" s="140"/>
      <c r="E103" s="119">
        <f>'NG Parameters'!B49/100</f>
        <v>0.83</v>
      </c>
      <c r="F103" s="64">
        <v>446.19200000000001</v>
      </c>
      <c r="G103" s="2" t="s">
        <v>80</v>
      </c>
      <c r="J103" s="55" t="s">
        <v>253</v>
      </c>
      <c r="K103" s="56">
        <f>C103*$K$80</f>
        <v>0</v>
      </c>
      <c r="L103" s="56">
        <f>D103*$K$80</f>
        <v>0</v>
      </c>
      <c r="N103" s="55" t="s">
        <v>253</v>
      </c>
      <c r="O103" s="56"/>
      <c r="P103" s="56"/>
      <c r="Q103" s="47"/>
    </row>
    <row r="104" spans="1:18"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c r="Q104" s="47"/>
    </row>
    <row r="105" spans="1:18"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c r="Q105" s="65"/>
    </row>
    <row r="106" spans="1:18" x14ac:dyDescent="0.2">
      <c r="B106" s="55" t="s">
        <v>371</v>
      </c>
      <c r="D106" s="47">
        <f>SUM(C95:D95,C98:D98,C101:D101)</f>
        <v>12.027459101265823</v>
      </c>
      <c r="J106" s="55" t="s">
        <v>371</v>
      </c>
      <c r="K106" s="47">
        <f>SUM(K95:L95,K98:L98,K101:L101)</f>
        <v>1.389578</v>
      </c>
      <c r="N106" s="55" t="s">
        <v>371</v>
      </c>
      <c r="O106" s="47">
        <f>SUM(O95:P95,O98:P98,O101:P101)</f>
        <v>1.2161600000000001</v>
      </c>
      <c r="Q106" s="65"/>
    </row>
    <row r="107" spans="1:18" x14ac:dyDescent="0.2">
      <c r="B107" s="55" t="s">
        <v>255</v>
      </c>
      <c r="D107" s="65">
        <f>D104*10^6</f>
        <v>135554768.53164554</v>
      </c>
      <c r="J107" s="55" t="s">
        <v>255</v>
      </c>
      <c r="K107" s="65">
        <f>K104*10^6</f>
        <v>25084051.037912484</v>
      </c>
      <c r="N107" s="55" t="s">
        <v>255</v>
      </c>
      <c r="O107" s="65">
        <f>O104*10^6</f>
        <v>26180760.509578988</v>
      </c>
    </row>
    <row r="108" spans="1:18" x14ac:dyDescent="0.2">
      <c r="B108" s="55" t="s">
        <v>239</v>
      </c>
      <c r="D108" s="65">
        <f t="shared" ref="D108:D109" si="4">D105*10^6</f>
        <v>24147978.708860759</v>
      </c>
      <c r="J108" s="55" t="s">
        <v>239</v>
      </c>
      <c r="K108" s="65">
        <f t="shared" ref="K108:K109" si="5">K105*10^6</f>
        <v>8358764.3253164552</v>
      </c>
      <c r="N108" s="55" t="s">
        <v>239</v>
      </c>
      <c r="O108" s="65">
        <f t="shared" ref="O108:O109" si="6">O105*10^6</f>
        <v>317365.17721518985</v>
      </c>
    </row>
    <row r="109" spans="1:18" x14ac:dyDescent="0.2">
      <c r="B109" s="55" t="s">
        <v>370</v>
      </c>
      <c r="D109" s="65">
        <f t="shared" si="4"/>
        <v>12027459.101265823</v>
      </c>
      <c r="J109" s="55" t="s">
        <v>370</v>
      </c>
      <c r="K109" s="65">
        <f t="shared" si="5"/>
        <v>1389578</v>
      </c>
      <c r="N109" s="55" t="s">
        <v>370</v>
      </c>
      <c r="O109" s="65">
        <f t="shared" si="6"/>
        <v>1216160.0000000002</v>
      </c>
      <c r="P109" s="65"/>
    </row>
    <row r="110" spans="1:18" x14ac:dyDescent="0.2">
      <c r="B110" s="46"/>
      <c r="C110" s="60"/>
    </row>
    <row r="111" spans="1:18" s="39" customFormat="1" x14ac:dyDescent="0.2">
      <c r="A111" s="39" t="s">
        <v>179</v>
      </c>
    </row>
    <row r="112" spans="1:18"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Parameters'!$C$44="No",F114,I114)</f>
        <v>124.01917790126328</v>
      </c>
      <c r="D114" s="44">
        <f>IF('NG Parameters'!$C$44="No",G114,J114)</f>
        <v>4464.6904044454777</v>
      </c>
      <c r="E114" s="44">
        <f>IF('NG Parameters'!$C$44="No",H114,K114)</f>
        <v>10789.668477409905</v>
      </c>
      <c r="F114" s="148">
        <f>(C119+C120)/C122*C123/C121*10^12</f>
        <v>124.01917790126328</v>
      </c>
      <c r="G114" s="148">
        <f>F114*Conversions!$B$7</f>
        <v>4464.6904044454777</v>
      </c>
      <c r="H114" s="148">
        <f>F114*Conversions!$B$6</f>
        <v>10789.668477409905</v>
      </c>
      <c r="I114" s="148">
        <f>F114*(1+'NG Parameters'!$C$45/100)</f>
        <v>136.42109569138961</v>
      </c>
      <c r="J114" s="148">
        <f>G114*(1+'NG Parameters'!$C$45/100)</f>
        <v>4911.159444890026</v>
      </c>
      <c r="K114" s="148">
        <f>H114*(1+'NG Parameters'!$C$45/100)</f>
        <v>11868.635325150897</v>
      </c>
    </row>
    <row r="115" spans="2:11" x14ac:dyDescent="0.2">
      <c r="B115" s="43" t="s">
        <v>50</v>
      </c>
      <c r="C115" s="44">
        <f>IF('NG Parameters'!$C$44="No",F115,I115)</f>
        <v>0.11757018065039758</v>
      </c>
      <c r="D115" s="44">
        <f>IF('NG Parameters'!$C$44="No",G115,J115)</f>
        <v>4.2325265034143129</v>
      </c>
      <c r="E115" s="44">
        <f>IF('NG Parameters'!$C$44="No",H115,K115)</f>
        <v>10.228605716584589</v>
      </c>
      <c r="F115" s="148">
        <f>F114*Conversions!$B$8</f>
        <v>0.11757018065039758</v>
      </c>
      <c r="G115" s="148">
        <f>F115*Conversions!$B$7</f>
        <v>4.2325265034143129</v>
      </c>
      <c r="H115" s="148">
        <f>F115*Conversions!$B$6</f>
        <v>10.228605716584589</v>
      </c>
      <c r="I115" s="148">
        <f>F115*(1+'NG Parameters'!$C$45/100)</f>
        <v>0.12932719871543735</v>
      </c>
      <c r="J115" s="148">
        <f>G115*(1+'NG Parameters'!$C$45/100)</f>
        <v>4.6557791537557449</v>
      </c>
      <c r="K115" s="148">
        <f>H115*(1+'NG Parameters'!$C$45/100)</f>
        <v>11.25146628824305</v>
      </c>
    </row>
    <row r="116" spans="2:11" x14ac:dyDescent="0.2">
      <c r="B116" s="43" t="s">
        <v>51</v>
      </c>
      <c r="C116" s="44">
        <f>IF('NG Parameters'!$C$44="No",F116,I116)</f>
        <v>0.90533999867922199</v>
      </c>
      <c r="D116" s="44">
        <f>IF('NG Parameters'!$C$44="No",G116,J116)</f>
        <v>32.59223995245199</v>
      </c>
      <c r="E116" s="44">
        <f>IF('NG Parameters'!$C$44="No",H116,K116)</f>
        <v>78.764579885092317</v>
      </c>
      <c r="F116" s="148">
        <f>F114*C$118/10^6</f>
        <v>0.90533999867922199</v>
      </c>
      <c r="G116" s="148">
        <f>F116*Conversions!$B$7</f>
        <v>32.59223995245199</v>
      </c>
      <c r="H116" s="148">
        <f>F116*Conversions!$B$6</f>
        <v>78.764579885092317</v>
      </c>
      <c r="I116" s="148">
        <f>F116*(1+'NG Parameters'!$C$45/100)</f>
        <v>0.99587399854714431</v>
      </c>
      <c r="J116" s="148">
        <f>G116*(1+'NG Parameters'!$C$45/100)</f>
        <v>35.851463947697191</v>
      </c>
      <c r="K116" s="148">
        <f>H116*(1+'NG Parameters'!$C$45/100)</f>
        <v>86.641037873601562</v>
      </c>
    </row>
    <row r="117" spans="2:11" x14ac:dyDescent="0.2">
      <c r="B117" s="46"/>
      <c r="C117" s="47"/>
    </row>
    <row r="118" spans="2:11" ht="16" x14ac:dyDescent="0.2">
      <c r="B118" s="9" t="s">
        <v>44</v>
      </c>
      <c r="C118" s="104">
        <f>'NG Parameters'!C$42</f>
        <v>7300</v>
      </c>
      <c r="D118" s="5" t="s">
        <v>45</v>
      </c>
    </row>
    <row r="119" spans="2:11" x14ac:dyDescent="0.2">
      <c r="B119" s="48" t="s">
        <v>200</v>
      </c>
      <c r="C119" s="159">
        <f>'NG Parameters'!C12/100</f>
        <v>6.9726654430202198E-3</v>
      </c>
    </row>
    <row r="120" spans="2:11" x14ac:dyDescent="0.2">
      <c r="B120" s="48" t="s">
        <v>201</v>
      </c>
      <c r="C120" s="159">
        <f>'NG Parameters'!C15/100</f>
        <v>0</v>
      </c>
    </row>
    <row r="121" spans="2:11" x14ac:dyDescent="0.2">
      <c r="B121" s="27" t="s">
        <v>24</v>
      </c>
      <c r="C121" s="50">
        <f>'NG Parameters'!C43</f>
        <v>1037</v>
      </c>
      <c r="D121" s="5" t="s">
        <v>25</v>
      </c>
    </row>
    <row r="122" spans="2:11" ht="16" x14ac:dyDescent="0.2">
      <c r="B122" s="5" t="s">
        <v>100</v>
      </c>
      <c r="C122" s="103">
        <f>Conversions!B$2</f>
        <v>51505.644797356501</v>
      </c>
      <c r="D122" s="120" t="s">
        <v>101</v>
      </c>
    </row>
    <row r="123" spans="2:11" x14ac:dyDescent="0.2">
      <c r="B123" s="27" t="s">
        <v>36</v>
      </c>
      <c r="C123" s="51">
        <f>'NG Parameters'!C50/100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Parameters'!$C$10</f>
        <v>1931.2080000000001</v>
      </c>
      <c r="D135" s="108">
        <f>'NG Parameters'!$C$10</f>
        <v>1931.2080000000001</v>
      </c>
      <c r="E135" s="170" t="s">
        <v>321</v>
      </c>
    </row>
    <row r="136" spans="2:6" x14ac:dyDescent="0.2">
      <c r="B136" s="172" t="s">
        <v>338</v>
      </c>
      <c r="C136" s="83">
        <f>C134*C135</f>
        <v>4.832102252413927E-3</v>
      </c>
      <c r="D136" s="83">
        <f>D134*D135</f>
        <v>6.9726654430202198E-3</v>
      </c>
    </row>
    <row r="137" spans="2:6" x14ac:dyDescent="0.2">
      <c r="B137" s="80" t="s">
        <v>22</v>
      </c>
      <c r="C137" s="122">
        <f>C136*C144/$C122*10^3*$C123</f>
        <v>2.7785950493827172</v>
      </c>
      <c r="D137" s="122">
        <f>D136*D144/$C122*10^3*$C123</f>
        <v>3.4431928641975311</v>
      </c>
    </row>
    <row r="138" spans="2:6" x14ac:dyDescent="0.2">
      <c r="B138" s="80"/>
      <c r="C138" s="87"/>
    </row>
    <row r="139" spans="2:6" x14ac:dyDescent="0.2">
      <c r="B139" s="80" t="s">
        <v>194</v>
      </c>
      <c r="C139" s="83">
        <f>C131/C133*C135</f>
        <v>4.035992893687404E-3</v>
      </c>
      <c r="D139" s="83">
        <f>D131/D133*D135</f>
        <v>5.0013412118414535E-3</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85.946092462976637</v>
      </c>
      <c r="D147" s="62">
        <f>D137/D145*10^12</f>
        <v>124.01917790126326</v>
      </c>
    </row>
    <row r="148" spans="1:11" x14ac:dyDescent="0.2">
      <c r="B148" s="46" t="s">
        <v>46</v>
      </c>
      <c r="C148" s="56">
        <f>C147*C118/10^6</f>
        <v>0.62740647497972934</v>
      </c>
      <c r="D148" s="56">
        <f>D147*C118/10^6</f>
        <v>0.90533999867922188</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Parameters'!$C$44="No",F153,I153)</f>
        <v>122.68416537511776</v>
      </c>
      <c r="D153" s="68">
        <f>IF('NG Parameters'!$C$44="No",G153,J153)</f>
        <v>4416.629953504239</v>
      </c>
      <c r="E153" s="68">
        <f>IF('NG Parameters'!$C$44="No",H153,K153)</f>
        <v>10673.522387635245</v>
      </c>
      <c r="F153" s="148">
        <f>F155/'NG Parameters'!$C$42*10^6</f>
        <v>122.68416537511776</v>
      </c>
      <c r="G153" s="148">
        <f>F153*Conversions!$B$7</f>
        <v>4416.629953504239</v>
      </c>
      <c r="H153" s="148">
        <f>F153*Conversions!$B$6</f>
        <v>10673.522387635245</v>
      </c>
      <c r="I153" s="148">
        <f>F153*(1+'NG Parameters'!$C$45/100)</f>
        <v>134.95258191262954</v>
      </c>
      <c r="J153" s="148">
        <f>G153*(1+'NG Parameters'!$C$45/100)</f>
        <v>4858.2929488546633</v>
      </c>
      <c r="K153" s="148">
        <f>H153*(1+'NG Parameters'!$C$45/100)</f>
        <v>11740.87462639877</v>
      </c>
    </row>
    <row r="154" spans="1:11" x14ac:dyDescent="0.2">
      <c r="B154" s="43" t="s">
        <v>50</v>
      </c>
      <c r="C154" s="68">
        <f>IF('NG Parameters'!$C$44="No",F154,I154)</f>
        <v>0.11630458877561163</v>
      </c>
      <c r="D154" s="68">
        <f>IF('NG Parameters'!$C$44="No",G154,J154)</f>
        <v>4.1869651959220189</v>
      </c>
      <c r="E154" s="68">
        <f>IF('NG Parameters'!$C$44="No",H154,K154)</f>
        <v>10.118499223478212</v>
      </c>
      <c r="F154" s="148">
        <f>F153*Conversions!$B$8</f>
        <v>0.11630458877561163</v>
      </c>
      <c r="G154" s="148">
        <f>F154*Conversions!$B$7</f>
        <v>4.1869651959220189</v>
      </c>
      <c r="H154" s="148">
        <f>F154*Conversions!$B$6</f>
        <v>10.118499223478212</v>
      </c>
      <c r="I154" s="148">
        <f>F154*(1+'NG Parameters'!$C$45/100)</f>
        <v>0.12793504765317282</v>
      </c>
      <c r="J154" s="148">
        <f>G154*(1+'NG Parameters'!$C$45/100)</f>
        <v>4.6056617155142208</v>
      </c>
      <c r="K154" s="148">
        <f>H154*(1+'NG Parameters'!$C$45/100)</f>
        <v>11.130349145826035</v>
      </c>
    </row>
    <row r="155" spans="1:11" x14ac:dyDescent="0.2">
      <c r="B155" s="43" t="s">
        <v>51</v>
      </c>
      <c r="C155" s="68">
        <f>IF('NG Parameters'!$C$44="No",F155,I155)</f>
        <v>0.8955944072383597</v>
      </c>
      <c r="D155" s="68">
        <f>IF('NG Parameters'!$C$44="No",G155,J155)</f>
        <v>32.241398660580948</v>
      </c>
      <c r="E155" s="68">
        <f>IF('NG Parameters'!$C$44="No",H155,K155)</f>
        <v>77.9167134297373</v>
      </c>
      <c r="F155" s="148">
        <f>SUM(E166:E180,E186:E188,E193:E194)</f>
        <v>0.8955944072383597</v>
      </c>
      <c r="G155" s="148">
        <f>F155*Conversions!$B$7</f>
        <v>32.241398660580948</v>
      </c>
      <c r="H155" s="148">
        <f>F155*Conversions!$B$6</f>
        <v>77.9167134297373</v>
      </c>
      <c r="I155" s="148">
        <f>F155*(1+'NG Parameters'!$C$45/100)</f>
        <v>0.98515384796219574</v>
      </c>
      <c r="J155" s="148">
        <f>G155*(1+'NG Parameters'!$C$45/100)</f>
        <v>35.465538526639044</v>
      </c>
      <c r="K155" s="148">
        <f>H155*(1+'NG Parameters'!$C$45/100)</f>
        <v>85.708384772711042</v>
      </c>
    </row>
    <row r="156" spans="1:11" x14ac:dyDescent="0.2">
      <c r="B156" s="46"/>
      <c r="C156" s="69"/>
    </row>
    <row r="157" spans="1:11" x14ac:dyDescent="0.2">
      <c r="B157" s="5" t="s">
        <v>24</v>
      </c>
      <c r="C157" s="17">
        <f>'NG Parameters'!C$43</f>
        <v>1037</v>
      </c>
      <c r="D157" s="4" t="s">
        <v>102</v>
      </c>
    </row>
    <row r="158" spans="1:11" ht="16" x14ac:dyDescent="0.2">
      <c r="B158" s="5" t="s">
        <v>100</v>
      </c>
      <c r="C158" s="103">
        <f>Conversions!B$2</f>
        <v>51505.644797356501</v>
      </c>
      <c r="D158" s="21" t="s">
        <v>101</v>
      </c>
    </row>
    <row r="159" spans="1:11" ht="16" x14ac:dyDescent="0.2">
      <c r="B159" s="9" t="s">
        <v>44</v>
      </c>
      <c r="C159" s="104">
        <f>'NG Parameters'!C$42</f>
        <v>7300</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159">
        <f>'NG Parameters'!C21/100</f>
        <v>8.9999999999999998E-4</v>
      </c>
      <c r="E166" s="56">
        <f>C166*10^6/C$158*10^3/(C$157*10^6)*C$159*1000</f>
        <v>0.12300755458202742</v>
      </c>
      <c r="F166" s="59">
        <f>E166/'NG Parameters'!$C$42*10^6*0.000948</f>
        <v>1.5974131745720817E-2</v>
      </c>
      <c r="G166" s="87">
        <f>F166*Conversions!$B$7</f>
        <v>0.57506874284594944</v>
      </c>
    </row>
    <row r="167" spans="2:7" x14ac:dyDescent="0.2">
      <c r="B167" s="73" t="s">
        <v>95</v>
      </c>
      <c r="D167" s="56"/>
      <c r="E167" s="47">
        <f>(C174)/C$158*C175/(C$157/10^6)*C$159</f>
        <v>0.31121460673077711</v>
      </c>
      <c r="F167" s="59">
        <f>E167/'NG Parameters'!$C$42*10^6*0.000948</f>
        <v>4.0415266737092698E-2</v>
      </c>
      <c r="G167" s="87">
        <f>F167*Conversions!$B$7</f>
        <v>1.4549496025353372</v>
      </c>
    </row>
    <row r="168" spans="2:7" x14ac:dyDescent="0.2">
      <c r="B168" s="26" t="s">
        <v>13</v>
      </c>
      <c r="C168" s="74">
        <f>'NG Parameters'!C31/100</f>
        <v>1.5E-3</v>
      </c>
      <c r="D168" s="56"/>
      <c r="G168" s="59"/>
    </row>
    <row r="169" spans="2:7" x14ac:dyDescent="0.2">
      <c r="B169" s="26" t="s">
        <v>12</v>
      </c>
      <c r="C169" s="17">
        <f>'NG Parameters'!C27</f>
        <v>821</v>
      </c>
      <c r="D169" s="4" t="s">
        <v>105</v>
      </c>
      <c r="G169" s="59"/>
    </row>
    <row r="170" spans="2:7" x14ac:dyDescent="0.2">
      <c r="B170" s="26" t="s">
        <v>171</v>
      </c>
      <c r="C170" s="17">
        <f>'NG Parameters'!C28/2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Parameters'!C30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Parameters'!C26/100</f>
        <v>0.1</v>
      </c>
      <c r="G175" s="59"/>
    </row>
    <row r="176" spans="2:7" x14ac:dyDescent="0.2">
      <c r="B176" s="48"/>
      <c r="G176" s="59"/>
    </row>
    <row r="177" spans="1:7" x14ac:dyDescent="0.2">
      <c r="A177" s="2" t="s">
        <v>91</v>
      </c>
      <c r="B177" s="73" t="s">
        <v>96</v>
      </c>
      <c r="C177" s="159">
        <f>'NG Parameters'!C34/100</f>
        <v>8.9999999999999998E-4</v>
      </c>
      <c r="E177" s="56">
        <f>C177*10^6/C$158*10^3/(C$157*10^6)*C$159*1000</f>
        <v>0.12300755458202742</v>
      </c>
      <c r="F177" s="59">
        <f>E177/'NG Parameters'!$C$42*10^6*0.000948</f>
        <v>1.5974131745720817E-2</v>
      </c>
      <c r="G177" s="87">
        <f>F177*Conversions!$B$7</f>
        <v>0.57506874284594944</v>
      </c>
    </row>
    <row r="178" spans="1:7" x14ac:dyDescent="0.2">
      <c r="B178" s="76" t="s">
        <v>97</v>
      </c>
      <c r="C178" s="159">
        <f>'NG Parameters'!C39/100</f>
        <v>2.9999999999999997E-4</v>
      </c>
      <c r="E178" s="56">
        <f>C178*10^6/C$158*10^3/(C$157*10^6)*C$159*1000</f>
        <v>4.100251819400913E-2</v>
      </c>
      <c r="F178" s="59">
        <f>E178/'NG Parameters'!$C$42*10^6*0.000948</f>
        <v>5.3247105819069383E-3</v>
      </c>
      <c r="G178" s="87">
        <f>F178*Conversions!$B$7</f>
        <v>0.19168958094864977</v>
      </c>
    </row>
    <row r="179" spans="1:7" x14ac:dyDescent="0.2">
      <c r="B179" s="76" t="s">
        <v>98</v>
      </c>
      <c r="C179" s="159">
        <f>'NG Parameters'!C40/100</f>
        <v>2.9999999999999997E-4</v>
      </c>
      <c r="E179" s="56">
        <f>C179*10^6/C$158*10^3/(C$157*10^6)*C$159*1000</f>
        <v>4.100251819400913E-2</v>
      </c>
      <c r="F179" s="59">
        <f>E179/'NG Parameters'!$C$42*10^6*0.000948</f>
        <v>5.3247105819069383E-3</v>
      </c>
      <c r="G179" s="87">
        <f>F179*Conversions!$B$7</f>
        <v>0.19168958094864977</v>
      </c>
    </row>
    <row r="180" spans="1:7" x14ac:dyDescent="0.2">
      <c r="B180" s="76" t="s">
        <v>99</v>
      </c>
      <c r="C180" s="159">
        <f>'NG Parameters'!C41/100</f>
        <v>2.9999999999999997E-4</v>
      </c>
      <c r="E180" s="56">
        <f>C180*10^6/C$158*10^3/(C$157*10^6)*C$159*1000</f>
        <v>4.100251819400913E-2</v>
      </c>
      <c r="F180" s="59">
        <f>E180/'NG Parameters'!$C$42*10^6*0.000948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87"/>
    </row>
    <row r="186" spans="1:7" s="80" customFormat="1" x14ac:dyDescent="0.2">
      <c r="B186" s="73" t="s">
        <v>94</v>
      </c>
      <c r="C186" s="160">
        <f>'NG Parameters'!C24/100</f>
        <v>9.300000000000001E-3</v>
      </c>
      <c r="D186" s="58">
        <f>'NG Parameters'!C22/100</f>
        <v>0.1</v>
      </c>
      <c r="E186" s="84">
        <f>D186*C186*10^6/C$158/C$157*C$159</f>
        <v>0.12710780640142835</v>
      </c>
      <c r="F186" s="59">
        <f>E186/'NG Parameters'!$C$42*10^6*0.000948</f>
        <v>1.6506602803911516E-2</v>
      </c>
      <c r="G186" s="87">
        <f>F186*Conversions!$B$7</f>
        <v>0.59423770094081463</v>
      </c>
    </row>
    <row r="187" spans="1:7" s="80" customFormat="1" x14ac:dyDescent="0.2">
      <c r="B187" s="85" t="s">
        <v>95</v>
      </c>
      <c r="C187" s="160">
        <f>'NG Parameters'!C32/100</f>
        <v>1.7000000000000001E-2</v>
      </c>
      <c r="D187" s="83"/>
      <c r="E187" s="86">
        <f>C187/C157*10^6/C$158*C$174*(1-C$175)*C$159</f>
        <v>4.7615834829808891E-2</v>
      </c>
      <c r="F187" s="59">
        <f>E187/'NG Parameters'!$C$42*10^6*0.000948</f>
        <v>6.1835358107751818E-3</v>
      </c>
      <c r="G187" s="87">
        <f>F187*Conversions!$B$7</f>
        <v>0.22260728918790654</v>
      </c>
    </row>
    <row r="188" spans="1:7" x14ac:dyDescent="0.2">
      <c r="B188" s="73" t="s">
        <v>96</v>
      </c>
      <c r="C188" s="160">
        <f>'NG Parameters'!C37/100</f>
        <v>9.300000000000001E-3</v>
      </c>
      <c r="D188" s="159">
        <f>'NG Parameters'!C35/100</f>
        <v>1.1000000000000001E-2</v>
      </c>
      <c r="E188" s="84">
        <f>D188*C188*10^6/C$158/C$157*C$159</f>
        <v>1.3981858704157118E-2</v>
      </c>
      <c r="F188" s="59">
        <f>E188/'NG Parameters'!$C$42*10^6*0.000948</f>
        <v>1.8157263084302667E-3</v>
      </c>
      <c r="G188" s="87">
        <f>F188*Conversions!$B$7</f>
        <v>6.5366147103489605E-2</v>
      </c>
    </row>
    <row r="189" spans="1:7" s="80" customFormat="1" x14ac:dyDescent="0.2">
      <c r="B189" s="55"/>
      <c r="C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Parameters'!C25/100</f>
        <v>0.05</v>
      </c>
      <c r="D193" s="204">
        <f>'NG Parameters'!$C$23/100</f>
        <v>3.0000000000000001E-3</v>
      </c>
      <c r="E193" s="84">
        <f>D193*C193*10^6/C$158/C$157*C$159</f>
        <v>2.0501259097004568E-2</v>
      </c>
      <c r="F193" s="207">
        <f>E193/'NG Parameters'!$C$42*10^6*0.000948</f>
        <v>2.6623552909534696E-3</v>
      </c>
      <c r="G193" s="208">
        <f>F193*Conversions!$B$7</f>
        <v>9.5844790474324898E-2</v>
      </c>
    </row>
    <row r="194" spans="1:7" x14ac:dyDescent="0.2">
      <c r="B194" s="73" t="s">
        <v>96</v>
      </c>
      <c r="C194" s="203">
        <f>'NG Parameters'!C38/100</f>
        <v>0.05</v>
      </c>
      <c r="D194" s="204">
        <f>'NG Parameters'!$C$36/100</f>
        <v>8.9999999999999998E-4</v>
      </c>
      <c r="E194" s="84">
        <f>D194*C194*10^6/C$158/C$157*C$159</f>
        <v>6.1503777291013707E-3</v>
      </c>
      <c r="F194" s="207">
        <f>E194/'NG Parameters'!$C$42*10^6*0.000948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Parameters'!$C$44="No",D199,E199)</f>
        <v>2762.4815118266383</v>
      </c>
      <c r="D199" s="148">
        <f>C215/C220*10^12</f>
        <v>2762.4815118266383</v>
      </c>
      <c r="E199" s="148">
        <f>D199*(1+'NG Parameters'!$C$45/100)</f>
        <v>3038.7296630093024</v>
      </c>
    </row>
    <row r="200" spans="1:7" x14ac:dyDescent="0.2">
      <c r="B200" s="43" t="s">
        <v>50</v>
      </c>
      <c r="C200" s="63">
        <f>IF('NG Parameters'!$C$44="No",D200,E200)</f>
        <v>2.6188324732116528</v>
      </c>
      <c r="D200" s="148">
        <f>D199*Conversions!$B$8</f>
        <v>2.6188324732116528</v>
      </c>
      <c r="E200" s="148">
        <f>D200*(1+'NG Parameters'!$C$45/100)</f>
        <v>2.8807157205328182</v>
      </c>
    </row>
    <row r="201" spans="1:7" x14ac:dyDescent="0.2">
      <c r="A201" s="2" t="s">
        <v>91</v>
      </c>
      <c r="B201" s="43" t="s">
        <v>51</v>
      </c>
      <c r="C201" s="63">
        <f>IF('NG Parameters'!$C$44="No",D201,E201)</f>
        <v>20.16611503633446</v>
      </c>
      <c r="D201" s="148">
        <f>D199*C$203/10^6</f>
        <v>20.16611503633446</v>
      </c>
      <c r="E201" s="148">
        <f>D201*(1+'NG Parameters'!$C$45/100)</f>
        <v>22.182726539967909</v>
      </c>
    </row>
    <row r="203" spans="1:7" ht="16" x14ac:dyDescent="0.2">
      <c r="B203" s="9" t="s">
        <v>44</v>
      </c>
      <c r="C203" s="104">
        <f>'NG Parameters'!C$42</f>
        <v>7300</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Parameters'!$C50/100*44/16</f>
        <v>44.459823855473147</v>
      </c>
      <c r="E206" s="141"/>
    </row>
    <row r="207" spans="1:7" x14ac:dyDescent="0.2">
      <c r="B207" s="80" t="s">
        <v>23</v>
      </c>
      <c r="D207" s="87">
        <f>SUM(C205:D206)</f>
        <v>44.950622926269482</v>
      </c>
      <c r="E207" s="56"/>
      <c r="F207" s="87"/>
    </row>
    <row r="208" spans="1:7" ht="16" x14ac:dyDescent="0.2">
      <c r="B208" s="80"/>
      <c r="C208" s="87"/>
      <c r="D208" s="174"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Parameters'!C19</f>
        <v>4.6245496837725802E-2</v>
      </c>
      <c r="D213" s="165" t="s">
        <v>342</v>
      </c>
    </row>
    <row r="214" spans="1:6" x14ac:dyDescent="0.2">
      <c r="B214" s="164" t="s">
        <v>344</v>
      </c>
      <c r="C214" s="17">
        <f>'NG Parameters'!C10+'NG Parameters'!C13</f>
        <v>1931.2080000000001</v>
      </c>
      <c r="D214" s="170" t="s">
        <v>321</v>
      </c>
    </row>
    <row r="215" spans="1:6" x14ac:dyDescent="0.2">
      <c r="B215" s="172" t="s">
        <v>345</v>
      </c>
      <c r="C215" s="87">
        <f>C213*C$214</f>
        <v>89.30967345699078</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Parameters'!$C$44="No",D225,E225)</f>
        <v>7504.386786116117</v>
      </c>
      <c r="D225" s="148">
        <f>D227/'NG Parameters'!$C$42*10^6</f>
        <v>7504.386786116117</v>
      </c>
      <c r="E225" s="148">
        <f>D225*(1+'NG Parameters'!$C$45/100)</f>
        <v>8254.8254647277299</v>
      </c>
    </row>
    <row r="226" spans="2:6" x14ac:dyDescent="0.2">
      <c r="B226" s="43" t="s">
        <v>50</v>
      </c>
      <c r="C226" s="68">
        <f>IF('NG Parameters'!$C$44="No",D226,E226)</f>
        <v>7.1141586732380784</v>
      </c>
      <c r="D226" s="148">
        <f>D225*Conversions!$B$8</f>
        <v>7.1141586732380784</v>
      </c>
      <c r="E226" s="148">
        <f>D226*(1+'NG Parameters'!$C$45/100)</f>
        <v>7.8255745405618873</v>
      </c>
    </row>
    <row r="227" spans="2:6" x14ac:dyDescent="0.2">
      <c r="B227" s="43" t="s">
        <v>51</v>
      </c>
      <c r="C227" s="68">
        <f>IF('NG Parameters'!$C$44="No",D227,E227)</f>
        <v>54.78202353864765</v>
      </c>
      <c r="D227" s="148">
        <f>SUM(E249:E250)+SUM(E236:E245)</f>
        <v>54.78202353864765</v>
      </c>
      <c r="E227" s="148">
        <f>D227*(1+'NG Parameters'!$C$45/100)</f>
        <v>60.260225892512416</v>
      </c>
    </row>
    <row r="228" spans="2:6" x14ac:dyDescent="0.2">
      <c r="B228" s="46"/>
      <c r="C228" s="69"/>
    </row>
    <row r="229" spans="2:6" ht="16" x14ac:dyDescent="0.2">
      <c r="B229" s="9" t="s">
        <v>44</v>
      </c>
      <c r="C229" s="104">
        <f>'NG Parameters'!C$42</f>
        <v>7300</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Parameters'!C22/100</f>
        <v>0.1</v>
      </c>
      <c r="E236" s="93">
        <f>C236*C$230/10^3*C$231*C$229</f>
        <v>38.624299999999998</v>
      </c>
      <c r="F236" s="133">
        <f>E236/'NG Parameters'!$C$42*10^6*0.000948</f>
        <v>5.0158679999999993</v>
      </c>
    </row>
    <row r="237" spans="2:6" s="66" customFormat="1" x14ac:dyDescent="0.2">
      <c r="B237" s="73" t="s">
        <v>95</v>
      </c>
      <c r="C237" s="92"/>
      <c r="E237" s="93">
        <f>C$241*C$243/(C$242*C$238/10^6*C$239*C$240*10^3)*C$229</f>
        <v>10.402702838647645</v>
      </c>
      <c r="F237" s="133">
        <f>E237/'NG Parameters'!$C$42*10^6*0.000948</f>
        <v>1.3509263412380776</v>
      </c>
    </row>
    <row r="238" spans="2:6" s="66" customFormat="1" x14ac:dyDescent="0.2">
      <c r="B238" s="113" t="s">
        <v>24</v>
      </c>
      <c r="C238" s="17">
        <f>'NG Parameters'!C$43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Parameters'!C28</f>
        <v>20000</v>
      </c>
      <c r="D241" s="26" t="s">
        <v>64</v>
      </c>
      <c r="E241" s="2" t="s">
        <v>173</v>
      </c>
    </row>
    <row r="242" spans="1:6" s="66" customFormat="1" x14ac:dyDescent="0.2">
      <c r="B242" s="113" t="s">
        <v>121</v>
      </c>
      <c r="C242" s="17">
        <f>'NG Parameters'!C29</f>
        <v>260000</v>
      </c>
      <c r="D242" s="26" t="s">
        <v>122</v>
      </c>
      <c r="E242" s="93"/>
    </row>
    <row r="243" spans="1:6" s="66" customFormat="1" x14ac:dyDescent="0.2">
      <c r="B243" s="113" t="s">
        <v>85</v>
      </c>
      <c r="C243" s="17">
        <f>'NG Parameters'!C33</f>
        <v>407</v>
      </c>
      <c r="D243" s="26" t="s">
        <v>123</v>
      </c>
      <c r="E243" s="93"/>
    </row>
    <row r="244" spans="1:6" s="66" customFormat="1" x14ac:dyDescent="0.2">
      <c r="B244" s="73" t="s">
        <v>96</v>
      </c>
      <c r="C244" s="92">
        <f>'NG Parameters'!C35/100</f>
        <v>1.1000000000000001E-2</v>
      </c>
      <c r="E244" s="93">
        <f>C244*C$230/10^3*C$231*C$229</f>
        <v>4.248673000000001</v>
      </c>
      <c r="F244" s="133">
        <f>E244/'NG Parameters'!$C$42*10^6*0.000948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94">
        <f>'NG Parameters'!$C$23/100</f>
        <v>3.0000000000000001E-3</v>
      </c>
      <c r="E249" s="93">
        <f>C249*C$230/10^3*C$231*C$229</f>
        <v>1.1587289999999999</v>
      </c>
      <c r="F249" s="87">
        <f>E249/'NG Parameters'!$C$42*10^6*0.000948</f>
        <v>0.15047603999999998</v>
      </c>
    </row>
    <row r="250" spans="1:6" s="80" customFormat="1" x14ac:dyDescent="0.2">
      <c r="B250" s="81" t="s">
        <v>96</v>
      </c>
      <c r="C250" s="94">
        <f>'NG Parameters'!$C$36/100</f>
        <v>8.9999999999999998E-4</v>
      </c>
      <c r="E250" s="93">
        <f>C250*C$230/10^3*C$231*C$229</f>
        <v>0.34761869999999995</v>
      </c>
      <c r="F250" s="87">
        <f>E250/'NG Parameters'!$C$42*10^6*0.000948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Parameters'!$C$44="No",D254,E254)</f>
        <v>52910</v>
      </c>
      <c r="D254" s="145">
        <f>C256/C$258*10^6</f>
        <v>52910</v>
      </c>
      <c r="E254" s="145">
        <f>D254*(1-'NG Parameters'!$C$46/100)*(1+'NG Parameters'!$C$45/100)</f>
        <v>5820.0999999999995</v>
      </c>
    </row>
    <row r="255" spans="1:6" x14ac:dyDescent="0.2">
      <c r="B255" s="43" t="s">
        <v>50</v>
      </c>
      <c r="C255" s="63">
        <f>IF('NG Parameters'!$C$44="No",D255,E255)</f>
        <v>50.158679999999997</v>
      </c>
      <c r="D255" s="145">
        <f>C254*Conversions!$B$8</f>
        <v>50.158679999999997</v>
      </c>
      <c r="E255" s="145">
        <f>D255*(1-'NG Parameters'!$C$46/100)*(1+'NG Parameters'!$C$45/100)</f>
        <v>5.5174547999999985</v>
      </c>
    </row>
    <row r="256" spans="1:6" x14ac:dyDescent="0.2">
      <c r="B256" s="43" t="s">
        <v>51</v>
      </c>
      <c r="C256" s="63">
        <f>IF('NG Parameters'!$C$44="No",D256,E256)</f>
        <v>386.24299999999999</v>
      </c>
      <c r="D256" s="145">
        <f>C258*C261/10^3</f>
        <v>386.24299999999999</v>
      </c>
      <c r="E256" s="145">
        <f>D256*(1-'NG Parameters'!$C$46/100)*(1+'NG Parameters'!$C$45/100)</f>
        <v>42.486729999999994</v>
      </c>
    </row>
    <row r="258" spans="1:5" x14ac:dyDescent="0.2">
      <c r="B258" s="2" t="s">
        <v>44</v>
      </c>
      <c r="C258" s="57">
        <f>'NG Parameters'!C$42</f>
        <v>7300</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F1A0BCDC-4A29-3A40-B61D-5BE56237D536}"/>
    <hyperlink ref="E51" r:id="rId2" xr:uid="{559EEB1C-8EA2-F548-AFB8-A84EFCC68E4E}"/>
    <hyperlink ref="E50" r:id="rId3" xr:uid="{5AC1C3EE-2A6C-CD47-B44D-6EC3F5F4C27A}"/>
    <hyperlink ref="F140" r:id="rId4" xr:uid="{BB8C92BA-00A0-F64C-98CE-07144CC4608A}"/>
    <hyperlink ref="F143" r:id="rId5" xr:uid="{5FC0FF33-F8CE-534C-9E9D-CB2A9F3AFFDC}"/>
    <hyperlink ref="F142" r:id="rId6" xr:uid="{4F085A7F-FE52-7040-915F-B873B530C29A}"/>
    <hyperlink ref="D208" r:id="rId7" xr:uid="{49D5ECF1-2126-2643-96A9-C51A277B89BA}"/>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E04E5-5D43-704E-B033-49C54A841441}">
  <sheetPr codeName="Sheet27"/>
  <dimension ref="A1:R262"/>
  <sheetViews>
    <sheetView zoomScale="101" workbookViewId="0">
      <selection activeCell="C5" sqref="C5"/>
    </sheetView>
  </sheetViews>
  <sheetFormatPr baseColWidth="10" defaultColWidth="31.83203125" defaultRowHeight="15" x14ac:dyDescent="0.2"/>
  <cols>
    <col min="1" max="1" width="21.5" style="2" customWidth="1"/>
    <col min="2" max="2" width="41.5" style="2" bestFit="1" customWidth="1"/>
    <col min="3" max="3" width="33.6640625" style="2" customWidth="1"/>
    <col min="4" max="4" width="24.6640625" style="2" customWidth="1"/>
    <col min="5" max="5" width="31.83203125" style="2"/>
    <col min="6" max="6" width="14.1640625" style="2" customWidth="1"/>
    <col min="7" max="8" width="18.6640625" style="2" customWidth="1"/>
    <col min="9" max="9" width="19.6640625" style="2" customWidth="1"/>
    <col min="10" max="10" width="12.6640625" style="2" bestFit="1" customWidth="1"/>
    <col min="11" max="11" width="11.6640625" style="2" bestFit="1" customWidth="1"/>
    <col min="12"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Parameters'!$D$44="No",F4,I4)</f>
        <v>257.36399904204984</v>
      </c>
      <c r="D4" s="45">
        <f>IF('NG Parameters'!$D$44="No",G4,J4)</f>
        <v>9265.1039655137938</v>
      </c>
      <c r="E4" s="45">
        <f>IF('NG Parameters'!$D$44="No",H4,K4)</f>
        <v>22390.667916658334</v>
      </c>
      <c r="F4" s="148">
        <f>C9/C11*C12/C10*10^12</f>
        <v>257.36399904204984</v>
      </c>
      <c r="G4" s="148">
        <f>F4*Conversions!$B$7</f>
        <v>9265.1039655137938</v>
      </c>
      <c r="H4" s="148">
        <f>F4*Conversions!$B$6</f>
        <v>22390.667916658334</v>
      </c>
      <c r="I4" s="148">
        <f>F4*(1+'NG Parameters'!$D$45/100)</f>
        <v>283.10039894625487</v>
      </c>
      <c r="J4" s="148">
        <f>G4*(1+'NG Parameters'!$D$45/100)</f>
        <v>10191.614362065175</v>
      </c>
      <c r="K4" s="148">
        <f>H4*(1+'NG Parameters'!$D$45/100)</f>
        <v>24629.734708324169</v>
      </c>
    </row>
    <row r="5" spans="1:11" x14ac:dyDescent="0.2">
      <c r="B5" s="43" t="s">
        <v>50</v>
      </c>
      <c r="C5" s="45">
        <f>IF('NG Parameters'!$D$44="No",F5,I5)</f>
        <v>0.24398107109186323</v>
      </c>
      <c r="D5" s="45">
        <f>IF('NG Parameters'!$D$44="No",G5,J5)</f>
        <v>8.7833185593070766</v>
      </c>
      <c r="E5" s="45">
        <f>IF('NG Parameters'!$D$44="No",H5,K5)</f>
        <v>21.226353184992103</v>
      </c>
      <c r="F5" s="148">
        <f>F4*Conversions!$B$8</f>
        <v>0.24398107109186323</v>
      </c>
      <c r="G5" s="148">
        <f>F5*Conversions!$B$7</f>
        <v>8.7833185593070766</v>
      </c>
      <c r="H5" s="148">
        <f>F5*Conversions!$B$6</f>
        <v>21.226353184992103</v>
      </c>
      <c r="I5" s="148">
        <f>F5*(1+'NG Parameters'!$D$45/100)</f>
        <v>0.26837917820104956</v>
      </c>
      <c r="J5" s="148">
        <f>G5*(1+'NG Parameters'!$D$45/100)</f>
        <v>9.6616504152377853</v>
      </c>
      <c r="K5" s="148">
        <f>H5*(1+'NG Parameters'!$D$45/100)</f>
        <v>23.348988503491316</v>
      </c>
    </row>
    <row r="6" spans="1:11" x14ac:dyDescent="0.2">
      <c r="B6" s="43" t="s">
        <v>51</v>
      </c>
      <c r="C6" s="45">
        <f>IF('NG Parameters'!$D$44="No",F6,I6)</f>
        <v>1.878757193006964</v>
      </c>
      <c r="D6" s="45">
        <f>IF('NG Parameters'!$D$44="No",G6,J6)</f>
        <v>67.635258948250708</v>
      </c>
      <c r="E6" s="45">
        <f>IF('NG Parameters'!$D$44="No",H6,K6)</f>
        <v>163.45187579160586</v>
      </c>
      <c r="F6" s="148">
        <f>F4*C$8/10^6</f>
        <v>1.878757193006964</v>
      </c>
      <c r="G6" s="148">
        <f>F6*Conversions!$B$7</f>
        <v>67.635258948250708</v>
      </c>
      <c r="H6" s="148">
        <f>F6*Conversions!$B$6</f>
        <v>163.45187579160586</v>
      </c>
      <c r="I6" s="148">
        <f>F6*(1+'NG Parameters'!$D$45/100)</f>
        <v>2.0666329123076603</v>
      </c>
      <c r="J6" s="148">
        <f>G6*(1+'NG Parameters'!$D$45/100)</f>
        <v>74.398784843075788</v>
      </c>
      <c r="K6" s="148">
        <f>H6*(1+'NG Parameters'!$D$45/100)</f>
        <v>179.79706337076647</v>
      </c>
    </row>
    <row r="7" spans="1:11" x14ac:dyDescent="0.2">
      <c r="B7" s="46"/>
      <c r="C7" s="47"/>
    </row>
    <row r="8" spans="1:11" ht="16" x14ac:dyDescent="0.2">
      <c r="B8" s="9" t="s">
        <v>44</v>
      </c>
      <c r="C8" s="104">
        <f>'NG Parameters'!D$42</f>
        <v>7300</v>
      </c>
      <c r="D8" s="26" t="s">
        <v>45</v>
      </c>
    </row>
    <row r="9" spans="1:11" x14ac:dyDescent="0.2">
      <c r="B9" s="27" t="s">
        <v>218</v>
      </c>
      <c r="C9" s="158">
        <f>'NG Parameters'!D4/100</f>
        <v>1.4469641653540673E-2</v>
      </c>
      <c r="D9" s="27"/>
    </row>
    <row r="10" spans="1:11" x14ac:dyDescent="0.2">
      <c r="B10" s="27" t="s">
        <v>24</v>
      </c>
      <c r="C10" s="50">
        <f>'NG Parameters'!D$43</f>
        <v>1037</v>
      </c>
      <c r="D10" s="26" t="s">
        <v>25</v>
      </c>
    </row>
    <row r="11" spans="1:11" ht="16" x14ac:dyDescent="0.2">
      <c r="B11" s="5" t="s">
        <v>100</v>
      </c>
      <c r="C11" s="103">
        <f>Conversions!B$2</f>
        <v>51505.644797356501</v>
      </c>
      <c r="D11" s="120" t="s">
        <v>101</v>
      </c>
    </row>
    <row r="12" spans="1:11" x14ac:dyDescent="0.2">
      <c r="B12" s="27" t="s">
        <v>224</v>
      </c>
      <c r="C12" s="51">
        <f>'NG Parameters'!D52/100</f>
        <v>0.95</v>
      </c>
      <c r="D12" s="27"/>
    </row>
    <row r="13" spans="1:11" x14ac:dyDescent="0.2">
      <c r="B13" s="25"/>
      <c r="C13" s="52"/>
      <c r="D13" s="22"/>
    </row>
    <row r="14" spans="1:11" x14ac:dyDescent="0.2">
      <c r="B14" s="27" t="s">
        <v>186</v>
      </c>
      <c r="C14" s="52"/>
      <c r="D14" s="22"/>
      <c r="G14" s="165" t="s">
        <v>396</v>
      </c>
    </row>
    <row r="15" spans="1:11" x14ac:dyDescent="0.2">
      <c r="C15" s="53" t="s">
        <v>21</v>
      </c>
      <c r="D15" s="53" t="s">
        <v>18</v>
      </c>
      <c r="F15" s="80"/>
      <c r="G15" s="165" t="s">
        <v>278</v>
      </c>
      <c r="H15" s="165" t="s">
        <v>389</v>
      </c>
      <c r="I15" s="165" t="s">
        <v>279</v>
      </c>
    </row>
    <row r="16" spans="1:11" x14ac:dyDescent="0.2">
      <c r="B16" s="80" t="s">
        <v>22</v>
      </c>
      <c r="C16" s="80"/>
      <c r="D16" s="229" t="s">
        <v>389</v>
      </c>
      <c r="E16" s="3" t="s">
        <v>166</v>
      </c>
    </row>
    <row r="17" spans="2:12" x14ac:dyDescent="0.2">
      <c r="B17" s="55" t="s">
        <v>39</v>
      </c>
      <c r="C17" s="226">
        <f>SUM(C18:C19)*E17*K31</f>
        <v>1.2694757688644962</v>
      </c>
      <c r="D17" s="226">
        <f>HLOOKUP(D16,G15:I21,3,FALSE)*E17*K31</f>
        <v>2.9227333459668343</v>
      </c>
      <c r="E17" s="119">
        <f>'NG Parameters'!D$5/100</f>
        <v>0.6</v>
      </c>
      <c r="G17" s="2">
        <v>6</v>
      </c>
      <c r="H17" s="2">
        <v>7.6</v>
      </c>
      <c r="I17" s="165">
        <v>9.6</v>
      </c>
    </row>
    <row r="18" spans="2:12" x14ac:dyDescent="0.2">
      <c r="B18" s="55" t="s">
        <v>7</v>
      </c>
      <c r="C18" s="226">
        <v>1.891548</v>
      </c>
      <c r="D18" s="226"/>
      <c r="E18" s="118"/>
      <c r="H18" s="165"/>
      <c r="I18" s="62"/>
    </row>
    <row r="19" spans="2:12" x14ac:dyDescent="0.2">
      <c r="B19" s="55" t="s">
        <v>4</v>
      </c>
      <c r="C19" s="226">
        <v>1.4094770000000001</v>
      </c>
      <c r="D19" s="226"/>
      <c r="E19" s="139"/>
      <c r="I19" s="62"/>
    </row>
    <row r="20" spans="2:12" x14ac:dyDescent="0.2">
      <c r="B20" s="55" t="s">
        <v>19</v>
      </c>
      <c r="C20" s="226">
        <v>1.390566</v>
      </c>
      <c r="D20" s="226">
        <f>HLOOKUP(D16,G15:I21,6,FALSE)</f>
        <v>2.6</v>
      </c>
      <c r="E20" s="3"/>
      <c r="G20" s="2">
        <v>2.4</v>
      </c>
      <c r="H20" s="165">
        <v>2.6</v>
      </c>
      <c r="I20" s="62">
        <v>3.2</v>
      </c>
    </row>
    <row r="21" spans="2:12" x14ac:dyDescent="0.2">
      <c r="B21" s="55" t="s">
        <v>20</v>
      </c>
      <c r="C21" s="226">
        <v>0.48785400000000001</v>
      </c>
      <c r="D21" s="226">
        <f>HLOOKUP(D16,G15:I21,7,FALSE)</f>
        <v>0.72</v>
      </c>
      <c r="G21" s="56">
        <v>0.65</v>
      </c>
      <c r="H21" s="47">
        <v>0.72</v>
      </c>
      <c r="I21" s="56">
        <v>0.92</v>
      </c>
    </row>
    <row r="22" spans="2:12" x14ac:dyDescent="0.2">
      <c r="B22" s="55" t="s">
        <v>23</v>
      </c>
      <c r="C22" s="226">
        <f>SUM(C17,C20:C21)</f>
        <v>3.1478957688644962</v>
      </c>
      <c r="D22" s="226">
        <f>SUM(D17,D20:D21)</f>
        <v>6.2427333459668342</v>
      </c>
      <c r="G22" s="226">
        <f>SUM(G17,G20:G21)</f>
        <v>9.0500000000000007</v>
      </c>
      <c r="H22" s="226">
        <f t="shared" ref="H22:I22" si="0">SUM(H17,H20:H21)</f>
        <v>10.92</v>
      </c>
      <c r="I22" s="226">
        <f t="shared" si="0"/>
        <v>13.72</v>
      </c>
    </row>
    <row r="23" spans="2:12" x14ac:dyDescent="0.2">
      <c r="B23" s="55"/>
      <c r="C23" s="47"/>
      <c r="D23" s="47"/>
    </row>
    <row r="24" spans="2:12" x14ac:dyDescent="0.2">
      <c r="B24" s="80" t="s">
        <v>38</v>
      </c>
      <c r="C24" s="80"/>
      <c r="D24" s="80"/>
      <c r="E24" s="118" t="s">
        <v>167</v>
      </c>
    </row>
    <row r="25" spans="2:12" x14ac:dyDescent="0.2">
      <c r="B25" s="55" t="s">
        <v>39</v>
      </c>
      <c r="C25" s="47">
        <f>C17*C$11/10^3/E25</f>
        <v>78.777310879500945</v>
      </c>
      <c r="D25" s="47">
        <f>D17*C$11/10^3/E25</f>
        <v>181.3701994635627</v>
      </c>
      <c r="E25" s="119">
        <f>'NG Parameters'!D47/100</f>
        <v>0.83</v>
      </c>
      <c r="I25" s="165" t="s">
        <v>286</v>
      </c>
      <c r="J25" s="165" t="s">
        <v>274</v>
      </c>
      <c r="K25" s="165" t="s">
        <v>277</v>
      </c>
    </row>
    <row r="26" spans="2:12" ht="16" x14ac:dyDescent="0.2">
      <c r="B26" s="55" t="s">
        <v>7</v>
      </c>
      <c r="C26" s="47"/>
      <c r="D26" s="122"/>
      <c r="E26" s="119">
        <f>'NG Parameters'!D47/100</f>
        <v>0.83</v>
      </c>
      <c r="H26" s="165" t="s">
        <v>301</v>
      </c>
      <c r="I26" s="62">
        <v>416881</v>
      </c>
      <c r="J26">
        <v>91332</v>
      </c>
      <c r="K26" s="62">
        <v>95190</v>
      </c>
      <c r="L26" s="165" t="s">
        <v>375</v>
      </c>
    </row>
    <row r="27" spans="2:12" x14ac:dyDescent="0.2">
      <c r="B27" s="55" t="s">
        <v>4</v>
      </c>
      <c r="C27" s="47"/>
      <c r="D27" s="122"/>
      <c r="E27" s="119">
        <f>'NG Parameters'!D48/100</f>
        <v>0.83</v>
      </c>
      <c r="H27" s="165" t="s">
        <v>58</v>
      </c>
      <c r="I27" s="62">
        <v>32000000</v>
      </c>
      <c r="J27" s="62">
        <f>K82</f>
        <v>4300000</v>
      </c>
      <c r="K27" s="62">
        <f>O82</f>
        <v>11400000</v>
      </c>
      <c r="L27" s="165" t="s">
        <v>376</v>
      </c>
    </row>
    <row r="28" spans="2:12" x14ac:dyDescent="0.2">
      <c r="B28" s="55" t="s">
        <v>19</v>
      </c>
      <c r="C28" s="47">
        <f>C20*C$11/10^3/E28</f>
        <v>86.291564413591374</v>
      </c>
      <c r="D28" s="47">
        <f>D20*C$11/10^3/E28</f>
        <v>161.34298370256255</v>
      </c>
      <c r="E28" s="119">
        <f>'NG Parameters'!D47/100</f>
        <v>0.83</v>
      </c>
      <c r="I28" s="62"/>
      <c r="J28" s="62"/>
      <c r="K28" s="62"/>
    </row>
    <row r="29" spans="2:12" x14ac:dyDescent="0.2">
      <c r="B29" s="55" t="s">
        <v>20</v>
      </c>
      <c r="C29" s="47">
        <f>C21*C$11/10^3/E29</f>
        <v>30.273776912011517</v>
      </c>
      <c r="D29" s="47">
        <f>D21*C$11/10^3/E29</f>
        <v>44.679595486863477</v>
      </c>
      <c r="E29" s="119">
        <f>'NG Parameters'!D49/100</f>
        <v>0.83</v>
      </c>
      <c r="H29" s="165" t="s">
        <v>299</v>
      </c>
      <c r="I29" s="62">
        <f>I27/I26</f>
        <v>76.760514391397066</v>
      </c>
      <c r="J29" s="62">
        <f>J27/J26</f>
        <v>47.080979284369114</v>
      </c>
      <c r="K29" s="62">
        <f>K27/K26</f>
        <v>119.76047904191617</v>
      </c>
    </row>
    <row r="30" spans="2:12" x14ac:dyDescent="0.2">
      <c r="B30" s="55" t="s">
        <v>23</v>
      </c>
      <c r="C30" s="47">
        <f>SUM(C25:C29)</f>
        <v>195.34265220510386</v>
      </c>
      <c r="D30" s="47">
        <f>SUM(D25:D29)</f>
        <v>387.39277865298874</v>
      </c>
      <c r="H30" s="165" t="s">
        <v>353</v>
      </c>
      <c r="I30" s="62"/>
      <c r="J30" s="214">
        <f>J29/I29</f>
        <v>0.6133489289077213</v>
      </c>
      <c r="K30" s="214">
        <f>K29/I29</f>
        <v>1.560183383233533</v>
      </c>
    </row>
    <row r="31" spans="2:12" x14ac:dyDescent="0.2">
      <c r="B31" s="80"/>
      <c r="C31" s="47"/>
      <c r="D31" s="47"/>
      <c r="J31" s="215">
        <f>1/J30</f>
        <v>1.6303933256732737</v>
      </c>
      <c r="K31" s="216">
        <f>1/K30</f>
        <v>0.64095029516816548</v>
      </c>
    </row>
    <row r="32" spans="2:12" x14ac:dyDescent="0.2">
      <c r="B32" s="55" t="s">
        <v>192</v>
      </c>
      <c r="C32" s="65"/>
      <c r="D32" s="65"/>
    </row>
    <row r="33" spans="2:5" x14ac:dyDescent="0.2">
      <c r="B33" s="55" t="s">
        <v>39</v>
      </c>
      <c r="C33" s="83">
        <f>C25/$C$52</f>
        <v>2.5268577089176407E-3</v>
      </c>
      <c r="D33" s="83">
        <f>D25/$D$52</f>
        <v>6.7744210462419262E-3</v>
      </c>
    </row>
    <row r="34" spans="2:5" x14ac:dyDescent="0.2">
      <c r="B34" s="55" t="s">
        <v>7</v>
      </c>
      <c r="C34" s="83"/>
      <c r="D34" s="83"/>
    </row>
    <row r="35" spans="2:5" x14ac:dyDescent="0.2">
      <c r="B35" s="55" t="s">
        <v>4</v>
      </c>
      <c r="C35" s="83"/>
      <c r="D35" s="83"/>
    </row>
    <row r="36" spans="2:5" x14ac:dyDescent="0.2">
      <c r="B36" s="55" t="s">
        <v>19</v>
      </c>
      <c r="C36" s="83">
        <f>C28/$C$52</f>
        <v>2.7678845890864944E-3</v>
      </c>
      <c r="D36" s="83">
        <f>D28/$D$52</f>
        <v>6.0263775840291378E-3</v>
      </c>
    </row>
    <row r="37" spans="2:5" x14ac:dyDescent="0.2">
      <c r="B37" s="55" t="s">
        <v>20</v>
      </c>
      <c r="C37" s="83">
        <f>C29/$C$52</f>
        <v>9.7106039434604523E-4</v>
      </c>
      <c r="D37" s="83">
        <f>D29/$D$52</f>
        <v>1.6688430232696075E-3</v>
      </c>
    </row>
    <row r="38" spans="2:5" x14ac:dyDescent="0.2">
      <c r="B38" s="55" t="s">
        <v>23</v>
      </c>
      <c r="C38" s="83">
        <f>C30/$C$52</f>
        <v>6.2658026923501815E-3</v>
      </c>
      <c r="D38" s="83">
        <f>D30/$D$52</f>
        <v>1.4469641653540673E-2</v>
      </c>
    </row>
    <row r="40" spans="2:5" x14ac:dyDescent="0.2">
      <c r="B40" s="55" t="s">
        <v>193</v>
      </c>
      <c r="C40" s="65"/>
      <c r="D40" s="65"/>
    </row>
    <row r="41" spans="2:5" x14ac:dyDescent="0.2">
      <c r="B41" s="55" t="s">
        <v>39</v>
      </c>
      <c r="C41" s="83">
        <f>C25/$C$48</f>
        <v>2.11054717467043E-3</v>
      </c>
      <c r="D41" s="83">
        <f>D25/$D$48</f>
        <v>5.5103188396206319E-3</v>
      </c>
    </row>
    <row r="42" spans="2:5" x14ac:dyDescent="0.2">
      <c r="B42" s="55" t="s">
        <v>7</v>
      </c>
      <c r="C42" s="83"/>
      <c r="D42" s="83"/>
    </row>
    <row r="43" spans="2:5" x14ac:dyDescent="0.2">
      <c r="B43" s="55" t="s">
        <v>4</v>
      </c>
      <c r="C43" s="83"/>
      <c r="D43" s="83"/>
    </row>
    <row r="44" spans="2:5" x14ac:dyDescent="0.2">
      <c r="B44" s="55" t="s">
        <v>19</v>
      </c>
      <c r="C44" s="83">
        <f t="shared" ref="C44:C45" si="1">C28/$C$48</f>
        <v>2.3118638531540395E-3</v>
      </c>
      <c r="D44" s="83">
        <f t="shared" ref="D44:D45" si="2">D28/$D$48</f>
        <v>4.9018597617821198E-3</v>
      </c>
    </row>
    <row r="45" spans="2:5" x14ac:dyDescent="0.2">
      <c r="B45" s="55" t="s">
        <v>20</v>
      </c>
      <c r="C45" s="83">
        <f t="shared" si="1"/>
        <v>8.1107407215235447E-4</v>
      </c>
      <c r="D45" s="83">
        <f t="shared" si="2"/>
        <v>1.3574380878781254E-3</v>
      </c>
    </row>
    <row r="46" spans="2:5" x14ac:dyDescent="0.2">
      <c r="B46" s="55" t="s">
        <v>23</v>
      </c>
      <c r="C46" s="83">
        <f>C30/$C$48</f>
        <v>5.233485099976825E-3</v>
      </c>
      <c r="D46" s="83">
        <f>D30/$D$48</f>
        <v>1.1769616689280877E-2</v>
      </c>
      <c r="E46" s="131">
        <v>2.75E-2</v>
      </c>
    </row>
    <row r="47" spans="2:5" x14ac:dyDescent="0.2">
      <c r="B47" s="55"/>
      <c r="C47" s="83"/>
      <c r="D47" s="83"/>
    </row>
    <row r="48" spans="2:5" x14ac:dyDescent="0.2">
      <c r="B48" s="46" t="s">
        <v>29</v>
      </c>
      <c r="C48" s="60">
        <v>37325.538999999997</v>
      </c>
      <c r="D48" s="60">
        <v>32914.646999999997</v>
      </c>
      <c r="E48" s="61" t="s">
        <v>32</v>
      </c>
    </row>
    <row r="50" spans="1:5" x14ac:dyDescent="0.2">
      <c r="B50" s="46" t="s">
        <v>26</v>
      </c>
      <c r="C50" s="62">
        <v>27568.156999999999</v>
      </c>
      <c r="D50" s="60">
        <v>24989.285</v>
      </c>
      <c r="E50" s="61" t="s">
        <v>30</v>
      </c>
    </row>
    <row r="51" spans="1:5" x14ac:dyDescent="0.2">
      <c r="B51" s="46" t="s">
        <v>27</v>
      </c>
      <c r="C51" s="62">
        <v>3607.8409999999999</v>
      </c>
      <c r="D51" s="62">
        <v>1783.5119999999999</v>
      </c>
      <c r="E51" s="61" t="s">
        <v>31</v>
      </c>
    </row>
    <row r="52" spans="1:5" x14ac:dyDescent="0.2">
      <c r="B52" s="46" t="s">
        <v>28</v>
      </c>
      <c r="C52" s="62">
        <v>31175.998</v>
      </c>
      <c r="D52" s="62">
        <v>26772.796999999999</v>
      </c>
    </row>
    <row r="53" spans="1:5" x14ac:dyDescent="0.2">
      <c r="B53" s="46" t="s">
        <v>205</v>
      </c>
      <c r="C53" s="136">
        <f>C52/C48</f>
        <v>0.83524575492399455</v>
      </c>
      <c r="D53" s="136">
        <f>D52/D48</f>
        <v>0.81340070273273779</v>
      </c>
    </row>
    <row r="54" spans="1:5" x14ac:dyDescent="0.2">
      <c r="B54" s="46" t="s">
        <v>41</v>
      </c>
      <c r="C54" s="60">
        <f>C52*C10*10^3</f>
        <v>32329509926</v>
      </c>
      <c r="D54" s="60">
        <f>D52*C10*10^3</f>
        <v>27763390489</v>
      </c>
    </row>
    <row r="55" spans="1:5" x14ac:dyDescent="0.2">
      <c r="C55" s="60"/>
      <c r="D55" s="60"/>
    </row>
    <row r="56" spans="1:5" x14ac:dyDescent="0.2">
      <c r="B56" s="46" t="s">
        <v>47</v>
      </c>
      <c r="C56" s="62">
        <f>C22/C54*10^12</f>
        <v>97.369114968640446</v>
      </c>
      <c r="D56" s="62">
        <f>D22/D54*10^12</f>
        <v>224.8548623209488</v>
      </c>
    </row>
    <row r="57" spans="1:5" x14ac:dyDescent="0.2">
      <c r="B57" s="46"/>
      <c r="C57" s="62"/>
      <c r="D57" s="62"/>
    </row>
    <row r="58" spans="1:5" x14ac:dyDescent="0.2">
      <c r="B58" s="46" t="s">
        <v>46</v>
      </c>
      <c r="C58" s="56">
        <f>C56*C8/10^6</f>
        <v>0.71079453927107528</v>
      </c>
      <c r="D58" s="56">
        <f>D56*C8/10^6</f>
        <v>1.6414404949429262</v>
      </c>
    </row>
    <row r="60" spans="1:5" s="39" customFormat="1" x14ac:dyDescent="0.2">
      <c r="A60" s="39" t="s">
        <v>73</v>
      </c>
    </row>
    <row r="61" spans="1:5" x14ac:dyDescent="0.2">
      <c r="B61" s="40" t="s">
        <v>42</v>
      </c>
      <c r="C61" s="41"/>
      <c r="D61" s="146"/>
      <c r="E61" s="146"/>
    </row>
    <row r="62" spans="1:5" x14ac:dyDescent="0.2">
      <c r="B62" s="41"/>
      <c r="C62" s="40" t="s">
        <v>71</v>
      </c>
      <c r="D62" s="144" t="s">
        <v>228</v>
      </c>
      <c r="E62" s="144" t="s">
        <v>225</v>
      </c>
    </row>
    <row r="63" spans="1:5" x14ac:dyDescent="0.2">
      <c r="B63" s="43" t="s">
        <v>49</v>
      </c>
      <c r="C63" s="63">
        <f>IF('NG Parameters'!$D$44="No",D63,E63)</f>
        <v>2344.337214873723</v>
      </c>
      <c r="D63" s="148">
        <f>SUM(C75:C77)/C82*10^12</f>
        <v>2344.337214873723</v>
      </c>
      <c r="E63" s="148">
        <f>D63*(1+'NG Parameters'!$D$45/100)</f>
        <v>2578.7709363610957</v>
      </c>
    </row>
    <row r="64" spans="1:5" x14ac:dyDescent="0.2">
      <c r="B64" s="43" t="s">
        <v>50</v>
      </c>
      <c r="C64" s="63">
        <f>IF('NG Parameters'!$D$44="No",D64,E64)</f>
        <v>2.2224316797002892</v>
      </c>
      <c r="D64" s="148">
        <f>D63*Conversions!$B$8</f>
        <v>2.2224316797002892</v>
      </c>
      <c r="E64" s="148">
        <f>D64*(1+'NG Parameters'!$D$45/100)</f>
        <v>2.4446748476703184</v>
      </c>
    </row>
    <row r="65" spans="2:16" x14ac:dyDescent="0.2">
      <c r="B65" s="43" t="s">
        <v>51</v>
      </c>
      <c r="C65" s="63">
        <f>IF('NG Parameters'!$D$44="No",D65,E65)</f>
        <v>17.113661668578178</v>
      </c>
      <c r="D65" s="148">
        <f>D63*C$70/10^6</f>
        <v>17.113661668578178</v>
      </c>
      <c r="E65" s="148">
        <f>D65*(1+'NG Parameters'!$D$45/100)</f>
        <v>18.825027835435996</v>
      </c>
    </row>
    <row r="67" spans="2:16" x14ac:dyDescent="0.2">
      <c r="B67" s="5" t="s">
        <v>243</v>
      </c>
      <c r="C67" s="143">
        <f>'NG Parameters'!D6</f>
        <v>2.2965579394367532</v>
      </c>
      <c r="D67" s="26" t="s">
        <v>216</v>
      </c>
    </row>
    <row r="68" spans="2:16" x14ac:dyDescent="0.2">
      <c r="B68" s="5" t="s">
        <v>244</v>
      </c>
      <c r="C68" s="143">
        <f>'NG Parameters'!D7</f>
        <v>2.7839050632911391E-2</v>
      </c>
      <c r="D68" s="26" t="s">
        <v>216</v>
      </c>
    </row>
    <row r="69" spans="2:16" x14ac:dyDescent="0.2">
      <c r="B69" s="164" t="s">
        <v>373</v>
      </c>
      <c r="C69" s="143">
        <f>'NG Parameters'!D8</f>
        <v>0.10668070175438599</v>
      </c>
      <c r="D69" s="26"/>
    </row>
    <row r="70" spans="2:16" ht="16" x14ac:dyDescent="0.2">
      <c r="B70" s="9" t="s">
        <v>44</v>
      </c>
      <c r="C70" s="104">
        <f>'NG Parameters'!D$42</f>
        <v>7300</v>
      </c>
      <c r="D70" s="5" t="s">
        <v>45</v>
      </c>
    </row>
    <row r="71" spans="2:16" ht="16" x14ac:dyDescent="0.2">
      <c r="B71" s="5" t="s">
        <v>100</v>
      </c>
      <c r="C71" s="103">
        <f>Conversions!B$2</f>
        <v>51505.644797356501</v>
      </c>
      <c r="D71" s="120" t="s">
        <v>101</v>
      </c>
    </row>
    <row r="72" spans="2:16" x14ac:dyDescent="0.2">
      <c r="B72" s="27" t="s">
        <v>24</v>
      </c>
      <c r="C72" s="50">
        <f>'NG Parameters'!D$43</f>
        <v>1037</v>
      </c>
      <c r="D72" s="5" t="s">
        <v>25</v>
      </c>
    </row>
    <row r="73" spans="2:16" ht="16" x14ac:dyDescent="0.2">
      <c r="B73" s="9" t="s">
        <v>126</v>
      </c>
      <c r="C73" s="110">
        <f>Conversions!B$5</f>
        <v>3.6666666666666665</v>
      </c>
      <c r="D73" s="5" t="s">
        <v>116</v>
      </c>
    </row>
    <row r="74" spans="2:16" s="80" customFormat="1" x14ac:dyDescent="0.2">
      <c r="B74" s="20"/>
      <c r="C74" s="106"/>
      <c r="D74" s="19"/>
    </row>
    <row r="75" spans="2:16" x14ac:dyDescent="0.2">
      <c r="B75" s="55" t="s">
        <v>241</v>
      </c>
      <c r="C75" s="62">
        <f>C67*C$81/10^6</f>
        <v>71.597485726764333</v>
      </c>
    </row>
    <row r="76" spans="2:16" x14ac:dyDescent="0.2">
      <c r="B76" s="55" t="s">
        <v>242</v>
      </c>
      <c r="C76" s="62">
        <f t="shared" ref="C76:C77" si="3">C68*C$81/10^6</f>
        <v>0.86791018685354415</v>
      </c>
    </row>
    <row r="77" spans="2:16" x14ac:dyDescent="0.2">
      <c r="B77" s="55" t="s">
        <v>374</v>
      </c>
      <c r="C77" s="62">
        <f t="shared" si="3"/>
        <v>3.3258773445333341</v>
      </c>
    </row>
    <row r="78" spans="2:16" x14ac:dyDescent="0.2">
      <c r="B78" s="55" t="s">
        <v>157</v>
      </c>
      <c r="C78" s="65">
        <f>C50</f>
        <v>27568.156999999999</v>
      </c>
      <c r="D78" s="2" t="s">
        <v>81</v>
      </c>
    </row>
    <row r="79" spans="2:16" x14ac:dyDescent="0.2">
      <c r="B79" s="55" t="s">
        <v>158</v>
      </c>
      <c r="C79" s="65">
        <f>C51</f>
        <v>3607.8409999999999</v>
      </c>
      <c r="D79" s="2" t="s">
        <v>81</v>
      </c>
      <c r="K79" s="210" t="s">
        <v>275</v>
      </c>
      <c r="O79" s="165" t="s">
        <v>275</v>
      </c>
    </row>
    <row r="80" spans="2:16" x14ac:dyDescent="0.2">
      <c r="B80" s="55" t="s">
        <v>159</v>
      </c>
      <c r="C80" s="65">
        <f>C52</f>
        <v>31175.998</v>
      </c>
      <c r="D80" s="2" t="s">
        <v>81</v>
      </c>
      <c r="J80" s="165" t="s">
        <v>274</v>
      </c>
      <c r="K80" s="166">
        <f>K82/C81</f>
        <v>0.13792661906124062</v>
      </c>
      <c r="L80" s="167"/>
      <c r="N80" s="165" t="s">
        <v>277</v>
      </c>
      <c r="O80" s="166">
        <f>O82/C81</f>
        <v>0.36566592030189377</v>
      </c>
      <c r="P80" s="167"/>
    </row>
    <row r="81" spans="2:18" x14ac:dyDescent="0.2">
      <c r="B81" s="55" t="s">
        <v>159</v>
      </c>
      <c r="C81" s="65">
        <f>C80*10^3</f>
        <v>31175998</v>
      </c>
      <c r="D81" s="2" t="s">
        <v>215</v>
      </c>
    </row>
    <row r="82" spans="2:18" x14ac:dyDescent="0.2">
      <c r="B82" s="46" t="s">
        <v>41</v>
      </c>
      <c r="C82" s="60">
        <f>C80*C72*10^3</f>
        <v>32329509926</v>
      </c>
      <c r="J82" s="55" t="s">
        <v>159</v>
      </c>
      <c r="K82" s="65">
        <v>4300000</v>
      </c>
      <c r="L82" s="2" t="s">
        <v>215</v>
      </c>
      <c r="N82" s="55" t="s">
        <v>159</v>
      </c>
      <c r="O82" s="65">
        <v>11400000</v>
      </c>
      <c r="P82" s="2" t="s">
        <v>215</v>
      </c>
    </row>
    <row r="83" spans="2:18" x14ac:dyDescent="0.2">
      <c r="B83" s="55" t="s">
        <v>256</v>
      </c>
      <c r="C83" s="122">
        <f>D107/C81</f>
        <v>4.3480490514416106</v>
      </c>
      <c r="D83" s="2" t="s">
        <v>245</v>
      </c>
      <c r="J83" s="55" t="s">
        <v>256</v>
      </c>
      <c r="K83" s="122">
        <f>K107/K82</f>
        <v>5.8335002413749963</v>
      </c>
      <c r="L83" s="2" t="s">
        <v>245</v>
      </c>
      <c r="N83" s="55" t="s">
        <v>256</v>
      </c>
      <c r="O83" s="122">
        <f>O107/O82</f>
        <v>2.2965579394367532</v>
      </c>
      <c r="P83" s="2" t="s">
        <v>245</v>
      </c>
      <c r="Q83" s="122"/>
    </row>
    <row r="84" spans="2:18"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c r="Q84" s="122"/>
    </row>
    <row r="85" spans="2:18" x14ac:dyDescent="0.2">
      <c r="B85" s="55" t="s">
        <v>372</v>
      </c>
      <c r="C85" s="122">
        <f>D109/C81</f>
        <v>0.38579227203138206</v>
      </c>
      <c r="D85" s="2" t="s">
        <v>245</v>
      </c>
      <c r="J85" s="55" t="s">
        <v>372</v>
      </c>
      <c r="K85" s="122">
        <f>K109/K82</f>
        <v>0.32315767441860466</v>
      </c>
      <c r="L85" s="2" t="s">
        <v>245</v>
      </c>
      <c r="N85" s="55"/>
      <c r="O85" s="86">
        <f>O109/O82</f>
        <v>0.10668070175438599</v>
      </c>
      <c r="Q85" s="122"/>
    </row>
    <row r="86" spans="2:18" x14ac:dyDescent="0.2">
      <c r="B86" s="55"/>
      <c r="C86" s="122"/>
      <c r="Q86" s="165"/>
    </row>
    <row r="87" spans="2:18" x14ac:dyDescent="0.2">
      <c r="B87" s="91" t="s">
        <v>78</v>
      </c>
    </row>
    <row r="88" spans="2:18" x14ac:dyDescent="0.2">
      <c r="B88" s="80"/>
      <c r="C88" s="2" t="s">
        <v>222</v>
      </c>
      <c r="D88" s="2" t="s">
        <v>223</v>
      </c>
      <c r="F88" s="80"/>
      <c r="K88" s="2" t="s">
        <v>222</v>
      </c>
      <c r="L88" s="2" t="s">
        <v>223</v>
      </c>
      <c r="O88" s="2" t="s">
        <v>222</v>
      </c>
      <c r="P88" s="2" t="s">
        <v>223</v>
      </c>
    </row>
    <row r="89" spans="2:18" x14ac:dyDescent="0.2">
      <c r="B89" s="55" t="s">
        <v>247</v>
      </c>
      <c r="E89" s="225" t="s">
        <v>382</v>
      </c>
      <c r="F89" s="165" t="s">
        <v>276</v>
      </c>
      <c r="J89" s="55" t="s">
        <v>247</v>
      </c>
      <c r="N89" s="55" t="s">
        <v>247</v>
      </c>
    </row>
    <row r="90" spans="2:18" x14ac:dyDescent="0.2">
      <c r="B90" s="55" t="s">
        <v>240</v>
      </c>
      <c r="E90" s="3"/>
      <c r="J90" s="55" t="s">
        <v>240</v>
      </c>
      <c r="N90" s="55" t="s">
        <v>240</v>
      </c>
    </row>
    <row r="91" spans="2:18" x14ac:dyDescent="0.2">
      <c r="B91" s="55" t="s">
        <v>248</v>
      </c>
      <c r="E91" s="139"/>
      <c r="J91" s="55" t="s">
        <v>248</v>
      </c>
      <c r="N91" s="55" t="s">
        <v>248</v>
      </c>
    </row>
    <row r="92" spans="2:18" x14ac:dyDescent="0.2">
      <c r="B92" s="55" t="s">
        <v>236</v>
      </c>
      <c r="E92" s="139"/>
      <c r="J92" s="55" t="s">
        <v>236</v>
      </c>
      <c r="N92" s="55" t="s">
        <v>236</v>
      </c>
    </row>
    <row r="93" spans="2:18"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4">D93*$O$80</f>
        <v>1.4714586408932158</v>
      </c>
      <c r="Q93" s="56"/>
      <c r="R93" s="56"/>
    </row>
    <row r="94" spans="2:18"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4"/>
        <v>0</v>
      </c>
      <c r="Q94" s="56"/>
      <c r="R94" s="56"/>
    </row>
    <row r="95" spans="2:18" x14ac:dyDescent="0.2">
      <c r="B95" s="55" t="s">
        <v>367</v>
      </c>
      <c r="C95" s="140">
        <f>0.03456*E93/(1-F93)</f>
        <v>2.6248101265822783E-2</v>
      </c>
      <c r="D95" s="56"/>
      <c r="E95" s="139"/>
      <c r="J95" s="55" t="s">
        <v>367</v>
      </c>
      <c r="K95" s="56">
        <v>0</v>
      </c>
      <c r="L95" s="56"/>
      <c r="N95" s="55" t="s">
        <v>367</v>
      </c>
      <c r="O95" s="56">
        <v>3.339E-3</v>
      </c>
      <c r="P95" s="56">
        <f t="shared" si="4"/>
        <v>0</v>
      </c>
      <c r="Q95" s="56"/>
      <c r="R95" s="56"/>
    </row>
    <row r="96" spans="2:18" x14ac:dyDescent="0.2">
      <c r="B96" s="55" t="s">
        <v>250</v>
      </c>
      <c r="C96" s="140">
        <v>59.269931999999997</v>
      </c>
      <c r="D96" s="56"/>
      <c r="E96" s="139"/>
      <c r="J96" s="55" t="s">
        <v>250</v>
      </c>
      <c r="K96" s="56">
        <v>11.626189</v>
      </c>
      <c r="L96" s="56">
        <f>D96*$K$80</f>
        <v>0</v>
      </c>
      <c r="N96" s="55" t="s">
        <v>250</v>
      </c>
      <c r="O96" s="56">
        <v>8.3213270000000001</v>
      </c>
      <c r="P96" s="56">
        <f t="shared" si="4"/>
        <v>0</v>
      </c>
      <c r="Q96" s="56"/>
      <c r="R96" s="56"/>
    </row>
    <row r="97" spans="1:18" x14ac:dyDescent="0.2">
      <c r="B97" s="55" t="s">
        <v>235</v>
      </c>
      <c r="C97" s="209">
        <v>3.436995</v>
      </c>
      <c r="D97" s="56"/>
      <c r="E97" s="139"/>
      <c r="J97" s="55" t="s">
        <v>235</v>
      </c>
      <c r="K97" s="56">
        <v>1.438299</v>
      </c>
      <c r="L97" s="56">
        <f>D97*$K$80</f>
        <v>0</v>
      </c>
      <c r="N97" s="55" t="s">
        <v>235</v>
      </c>
      <c r="O97" s="56">
        <v>8.6674000000000001E-2</v>
      </c>
      <c r="P97" s="56">
        <f t="shared" si="4"/>
        <v>0</v>
      </c>
      <c r="Q97" s="56"/>
      <c r="R97" s="56"/>
    </row>
    <row r="98" spans="1:18" x14ac:dyDescent="0.2">
      <c r="B98" s="55" t="s">
        <v>368</v>
      </c>
      <c r="C98" s="140">
        <v>0.60960199999999998</v>
      </c>
      <c r="D98" s="56"/>
      <c r="E98" s="139"/>
      <c r="J98" s="55" t="s">
        <v>368</v>
      </c>
      <c r="K98" s="56">
        <v>0.14707300000000001</v>
      </c>
      <c r="L98" s="56"/>
      <c r="N98" s="55" t="s">
        <v>368</v>
      </c>
      <c r="O98" s="56">
        <v>2.4684999999999999E-2</v>
      </c>
      <c r="P98" s="56">
        <f t="shared" si="4"/>
        <v>0</v>
      </c>
      <c r="Q98" s="56"/>
      <c r="R98" s="56"/>
    </row>
    <row r="99" spans="1:18"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4"/>
        <v>14.284952359825015</v>
      </c>
      <c r="Q99" s="56"/>
      <c r="R99" s="56"/>
    </row>
    <row r="100" spans="1:18" ht="16" x14ac:dyDescent="0.2">
      <c r="B100" s="55" t="s">
        <v>237</v>
      </c>
      <c r="C100" s="140">
        <v>4.1193470000000003</v>
      </c>
      <c r="D100" s="56"/>
      <c r="E100" s="118"/>
      <c r="F100" s="3"/>
      <c r="J100" s="55" t="s">
        <v>237</v>
      </c>
      <c r="K100" s="180">
        <v>1.5641233000000001</v>
      </c>
      <c r="L100" s="56">
        <f>D100*$K$80</f>
        <v>0</v>
      </c>
      <c r="N100" s="55" t="s">
        <v>237</v>
      </c>
      <c r="O100" s="213">
        <v>0.20107700000000001</v>
      </c>
      <c r="P100" s="56"/>
      <c r="Q100" s="56"/>
      <c r="R100" s="56"/>
    </row>
    <row r="101" spans="1:18" x14ac:dyDescent="0.2">
      <c r="B101" s="55" t="s">
        <v>369</v>
      </c>
      <c r="C101" s="140">
        <v>11.391609000000001</v>
      </c>
      <c r="D101" s="56"/>
      <c r="E101" s="118"/>
      <c r="F101" s="3"/>
      <c r="J101" s="55" t="s">
        <v>369</v>
      </c>
      <c r="K101" s="56">
        <v>1.242505</v>
      </c>
      <c r="L101" s="56"/>
      <c r="N101" s="55" t="s">
        <v>369</v>
      </c>
      <c r="O101" s="213">
        <v>1.1881360000000001</v>
      </c>
      <c r="P101" s="56"/>
      <c r="Q101" s="47"/>
    </row>
    <row r="102" spans="1:18" x14ac:dyDescent="0.2">
      <c r="B102" s="55" t="s">
        <v>252</v>
      </c>
      <c r="C102" s="140"/>
      <c r="E102" s="119">
        <f>'NG Parameters'!B47/100</f>
        <v>0.83</v>
      </c>
      <c r="F102" s="64">
        <v>1248.046</v>
      </c>
      <c r="G102" s="2" t="s">
        <v>79</v>
      </c>
      <c r="J102" s="55" t="s">
        <v>252</v>
      </c>
      <c r="K102" s="56">
        <v>3.1604E-2</v>
      </c>
      <c r="L102" s="56">
        <f>D102*$K$80</f>
        <v>0</v>
      </c>
      <c r="N102" s="55" t="s">
        <v>252</v>
      </c>
      <c r="O102" s="213"/>
      <c r="P102" s="56"/>
      <c r="Q102" s="47"/>
    </row>
    <row r="103" spans="1:18" x14ac:dyDescent="0.2">
      <c r="B103" s="55" t="s">
        <v>253</v>
      </c>
      <c r="C103" s="140"/>
      <c r="E103" s="119">
        <f>'NG Parameters'!B49/100</f>
        <v>0.83</v>
      </c>
      <c r="F103" s="64">
        <v>446.19200000000001</v>
      </c>
      <c r="G103" s="2" t="s">
        <v>80</v>
      </c>
      <c r="J103" s="55" t="s">
        <v>253</v>
      </c>
      <c r="K103" s="56">
        <f>C103*$K$80</f>
        <v>0</v>
      </c>
      <c r="L103" s="56">
        <f>D103*$K$80</f>
        <v>0</v>
      </c>
      <c r="N103" s="55" t="s">
        <v>253</v>
      </c>
      <c r="O103" s="56"/>
      <c r="P103" s="56"/>
      <c r="Q103" s="47"/>
    </row>
    <row r="104" spans="1:18"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c r="Q104" s="47"/>
    </row>
    <row r="105" spans="1:18"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c r="Q105" s="65"/>
    </row>
    <row r="106" spans="1:18" x14ac:dyDescent="0.2">
      <c r="B106" s="55" t="s">
        <v>371</v>
      </c>
      <c r="D106" s="47">
        <f>SUM(C95:D95,C98:D98,C101:D101)</f>
        <v>12.027459101265823</v>
      </c>
      <c r="J106" s="55" t="s">
        <v>371</v>
      </c>
      <c r="K106" s="47">
        <f>SUM(K95:L95,K98:L98,K101:L101)</f>
        <v>1.389578</v>
      </c>
      <c r="N106" s="55" t="s">
        <v>371</v>
      </c>
      <c r="O106" s="47">
        <f>SUM(O95:P95,O98:P98,O101:P101)</f>
        <v>1.2161600000000001</v>
      </c>
      <c r="Q106" s="65"/>
    </row>
    <row r="107" spans="1:18" x14ac:dyDescent="0.2">
      <c r="B107" s="55" t="s">
        <v>255</v>
      </c>
      <c r="D107" s="65">
        <f>D104*10^6</f>
        <v>135554768.53164554</v>
      </c>
      <c r="J107" s="55" t="s">
        <v>255</v>
      </c>
      <c r="K107" s="65">
        <f>K104*10^6</f>
        <v>25084051.037912484</v>
      </c>
      <c r="N107" s="55" t="s">
        <v>255</v>
      </c>
      <c r="O107" s="65">
        <f>O104*10^6</f>
        <v>26180760.509578988</v>
      </c>
    </row>
    <row r="108" spans="1:18" x14ac:dyDescent="0.2">
      <c r="B108" s="55" t="s">
        <v>239</v>
      </c>
      <c r="D108" s="65">
        <f t="shared" ref="D108:D109" si="5">D105*10^6</f>
        <v>24147978.708860759</v>
      </c>
      <c r="J108" s="55" t="s">
        <v>239</v>
      </c>
      <c r="K108" s="65">
        <f t="shared" ref="K108:K109" si="6">K105*10^6</f>
        <v>8358764.3253164552</v>
      </c>
      <c r="N108" s="55" t="s">
        <v>239</v>
      </c>
      <c r="O108" s="65">
        <f t="shared" ref="O108:O109" si="7">O105*10^6</f>
        <v>317365.17721518985</v>
      </c>
    </row>
    <row r="109" spans="1:18" x14ac:dyDescent="0.2">
      <c r="B109" s="55" t="s">
        <v>370</v>
      </c>
      <c r="D109" s="65">
        <f t="shared" si="5"/>
        <v>12027459.101265823</v>
      </c>
      <c r="J109" s="55" t="s">
        <v>370</v>
      </c>
      <c r="K109" s="65">
        <f t="shared" si="6"/>
        <v>1389578</v>
      </c>
      <c r="N109" s="55" t="s">
        <v>370</v>
      </c>
      <c r="O109" s="65">
        <f t="shared" si="7"/>
        <v>1216160.0000000002</v>
      </c>
      <c r="P109" s="65"/>
    </row>
    <row r="110" spans="1:18" x14ac:dyDescent="0.2">
      <c r="B110" s="46"/>
      <c r="C110" s="60"/>
    </row>
    <row r="111" spans="1:18" s="39" customFormat="1" x14ac:dyDescent="0.2">
      <c r="A111" s="39" t="s">
        <v>179</v>
      </c>
    </row>
    <row r="112" spans="1:18"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Parameters'!$D$44="No",F114,I114)</f>
        <v>5.1674657458859707</v>
      </c>
      <c r="D114" s="44">
        <f>IF('NG Parameters'!$D$44="No",G114,J114)</f>
        <v>186.02876685189494</v>
      </c>
      <c r="E114" s="44">
        <f>IF('NG Parameters'!$D$44="No",H114,K114)</f>
        <v>449.56951989207943</v>
      </c>
      <c r="F114" s="148">
        <f>(C119+C120)/C122*C123/C121*10^12</f>
        <v>5.1674657458859707</v>
      </c>
      <c r="G114" s="148">
        <f>F114*Conversions!$B$7</f>
        <v>186.02876685189494</v>
      </c>
      <c r="H114" s="148">
        <f>F114*Conversions!$B$6</f>
        <v>449.56951989207943</v>
      </c>
      <c r="I114" s="148">
        <f>F114*(1+'NG Parameters'!$D$45/100)</f>
        <v>5.6842123204745683</v>
      </c>
      <c r="J114" s="148">
        <f>G114*(1+'NG Parameters'!$D$45/100)</f>
        <v>204.63164353708444</v>
      </c>
      <c r="K114" s="148">
        <f>H114*(1+'NG Parameters'!$D$45/100)</f>
        <v>494.52647188128742</v>
      </c>
    </row>
    <row r="115" spans="2:11" x14ac:dyDescent="0.2">
      <c r="B115" s="43" t="s">
        <v>50</v>
      </c>
      <c r="C115" s="44">
        <f>IF('NG Parameters'!$D$44="No",F115,I115)</f>
        <v>4.8987575270999003E-3</v>
      </c>
      <c r="D115" s="44">
        <f>IF('NG Parameters'!$D$44="No",G115,J115)</f>
        <v>0.17635527097559642</v>
      </c>
      <c r="E115" s="44">
        <f>IF('NG Parameters'!$D$44="No",H115,K115)</f>
        <v>0.42619190485769132</v>
      </c>
      <c r="F115" s="148">
        <f>F114*Conversions!$B$8</f>
        <v>4.8987575270999003E-3</v>
      </c>
      <c r="G115" s="148">
        <f>F115*Conversions!$B$7</f>
        <v>0.17635527097559642</v>
      </c>
      <c r="H115" s="148">
        <f>F115*Conversions!$B$6</f>
        <v>0.42619190485769132</v>
      </c>
      <c r="I115" s="148">
        <f>F115*(1+'NG Parameters'!$D$45/100)</f>
        <v>5.3886332798098908E-3</v>
      </c>
      <c r="J115" s="148">
        <f>G115*(1+'NG Parameters'!$D$45/100)</f>
        <v>0.19399079807315608</v>
      </c>
      <c r="K115" s="148">
        <f>H115*(1+'NG Parameters'!$D$45/100)</f>
        <v>0.46881109534346049</v>
      </c>
    </row>
    <row r="116" spans="2:11" x14ac:dyDescent="0.2">
      <c r="B116" s="43" t="s">
        <v>51</v>
      </c>
      <c r="C116" s="44">
        <f>IF('NG Parameters'!$D$44="No",F116,I116)</f>
        <v>3.772249994496759E-2</v>
      </c>
      <c r="D116" s="44">
        <f>IF('NG Parameters'!$D$44="No",G116,J116)</f>
        <v>1.3580099980188332</v>
      </c>
      <c r="E116" s="44">
        <f>IF('NG Parameters'!$D$44="No",H116,K116)</f>
        <v>3.2818574952121802</v>
      </c>
      <c r="F116" s="148">
        <f>F114*C$118/10^6</f>
        <v>3.772249994496759E-2</v>
      </c>
      <c r="G116" s="148">
        <f>F116*Conversions!$B$7</f>
        <v>1.3580099980188332</v>
      </c>
      <c r="H116" s="148">
        <f>F116*Conversions!$B$6</f>
        <v>3.2818574952121802</v>
      </c>
      <c r="I116" s="148">
        <f>F116*(1+'NG Parameters'!$D$45/100)</f>
        <v>4.1494749939464351E-2</v>
      </c>
      <c r="J116" s="148">
        <f>G116*(1+'NG Parameters'!$D$45/100)</f>
        <v>1.4938109978207166</v>
      </c>
      <c r="K116" s="148">
        <f>H116*(1+'NG Parameters'!$D$45/100)</f>
        <v>3.6100432447333985</v>
      </c>
    </row>
    <row r="117" spans="2:11" x14ac:dyDescent="0.2">
      <c r="B117" s="46"/>
      <c r="C117" s="47"/>
    </row>
    <row r="118" spans="2:11" ht="16" x14ac:dyDescent="0.2">
      <c r="B118" s="9" t="s">
        <v>44</v>
      </c>
      <c r="C118" s="104">
        <f>'NG Parameters'!D$42</f>
        <v>7300</v>
      </c>
      <c r="D118" s="5" t="s">
        <v>45</v>
      </c>
    </row>
    <row r="119" spans="2:11" x14ac:dyDescent="0.2">
      <c r="B119" s="48" t="s">
        <v>200</v>
      </c>
      <c r="C119" s="159">
        <f>'NG Parameters'!D12/100</f>
        <v>2.9052772679250916E-4</v>
      </c>
    </row>
    <row r="120" spans="2:11" x14ac:dyDescent="0.2">
      <c r="B120" s="48" t="s">
        <v>201</v>
      </c>
      <c r="C120" s="159">
        <f>'NG Parameters'!D15/100</f>
        <v>0</v>
      </c>
    </row>
    <row r="121" spans="2:11" x14ac:dyDescent="0.2">
      <c r="B121" s="27" t="s">
        <v>24</v>
      </c>
      <c r="C121" s="50">
        <f>'NG Parameters'!D43</f>
        <v>1037</v>
      </c>
      <c r="D121" s="5" t="s">
        <v>25</v>
      </c>
    </row>
    <row r="122" spans="2:11" ht="16" x14ac:dyDescent="0.2">
      <c r="B122" s="5" t="s">
        <v>100</v>
      </c>
      <c r="C122" s="103">
        <f>Conversions!B$2</f>
        <v>51505.644797356501</v>
      </c>
      <c r="D122" s="120" t="s">
        <v>101</v>
      </c>
    </row>
    <row r="123" spans="2:11" x14ac:dyDescent="0.2">
      <c r="B123" s="27" t="s">
        <v>36</v>
      </c>
      <c r="C123" s="51">
        <f>'NG Parameters'!D50/100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Parameters'!$D$10</f>
        <v>80.466999999999999</v>
      </c>
      <c r="D135" s="108">
        <f>'NG Parameters'!$D$10</f>
        <v>80.466999999999999</v>
      </c>
      <c r="E135" s="170" t="s">
        <v>321</v>
      </c>
    </row>
    <row r="136" spans="2:6" x14ac:dyDescent="0.2">
      <c r="B136" s="172" t="s">
        <v>338</v>
      </c>
      <c r="C136" s="83">
        <f>C134*C135</f>
        <v>2.0133759385058028E-4</v>
      </c>
      <c r="D136" s="83">
        <f>D134*D135</f>
        <v>2.9052772679250916E-4</v>
      </c>
    </row>
    <row r="137" spans="2:6" x14ac:dyDescent="0.2">
      <c r="B137" s="80" t="s">
        <v>22</v>
      </c>
      <c r="C137" s="122">
        <f>C136*C144/$C122*10^3*$C123</f>
        <v>0.11577479372427987</v>
      </c>
      <c r="D137" s="122">
        <f>D136*D144/$C122*10^3*$C123</f>
        <v>0.14346636934156382</v>
      </c>
    </row>
    <row r="138" spans="2:6" x14ac:dyDescent="0.2">
      <c r="B138" s="80"/>
      <c r="C138" s="87"/>
    </row>
    <row r="139" spans="2:6" x14ac:dyDescent="0.2">
      <c r="B139" s="80" t="s">
        <v>194</v>
      </c>
      <c r="C139" s="83">
        <f>C131/C133*C135</f>
        <v>1.6816637057030849E-4</v>
      </c>
      <c r="D139" s="83">
        <f>D131/D133*D135</f>
        <v>2.0838921716006054E-4</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3.5810871859573599</v>
      </c>
      <c r="D147" s="62">
        <f>D137/D145*10^12</f>
        <v>5.1674657458859699</v>
      </c>
    </row>
    <row r="148" spans="1:11" x14ac:dyDescent="0.2">
      <c r="B148" s="46" t="s">
        <v>46</v>
      </c>
      <c r="C148" s="56">
        <f>C147*C118/10^6</f>
        <v>2.6141936457488725E-2</v>
      </c>
      <c r="D148" s="56">
        <f>D147*C118/10^6</f>
        <v>3.7722499944967583E-2</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Parameters'!$D$44="No",F153,I153)</f>
        <v>122.68416537511776</v>
      </c>
      <c r="D153" s="68">
        <f>IF('NG Parameters'!$D$44="No",G153,J153)</f>
        <v>4416.629953504239</v>
      </c>
      <c r="E153" s="68">
        <f>IF('NG Parameters'!$D$44="No",H153,K153)</f>
        <v>10673.522387635245</v>
      </c>
      <c r="F153" s="148">
        <f>F155/'NG Parameters'!$D$42*10^6</f>
        <v>122.68416537511776</v>
      </c>
      <c r="G153" s="148">
        <f>F153*Conversions!$B$7</f>
        <v>4416.629953504239</v>
      </c>
      <c r="H153" s="148">
        <f>F153*Conversions!$B$6</f>
        <v>10673.522387635245</v>
      </c>
      <c r="I153" s="148">
        <f>F153*(1+'NG Parameters'!$D$45/100)</f>
        <v>134.95258191262954</v>
      </c>
      <c r="J153" s="148">
        <f>G153*(1+'NG Parameters'!$D$45/100)</f>
        <v>4858.2929488546633</v>
      </c>
      <c r="K153" s="148">
        <f>H153*(1+'NG Parameters'!$D$45/100)</f>
        <v>11740.87462639877</v>
      </c>
    </row>
    <row r="154" spans="1:11" x14ac:dyDescent="0.2">
      <c r="B154" s="43" t="s">
        <v>50</v>
      </c>
      <c r="C154" s="68">
        <f>IF('NG Parameters'!$D$44="No",F154,I154)</f>
        <v>0.11630458877561163</v>
      </c>
      <c r="D154" s="68">
        <f>IF('NG Parameters'!$D$44="No",G154,J154)</f>
        <v>4.1869651959220189</v>
      </c>
      <c r="E154" s="68">
        <f>IF('NG Parameters'!$D$44="No",H154,K154)</f>
        <v>10.118499223478212</v>
      </c>
      <c r="F154" s="148">
        <f>F153*Conversions!$B$8</f>
        <v>0.11630458877561163</v>
      </c>
      <c r="G154" s="148">
        <f>F154*Conversions!$B$7</f>
        <v>4.1869651959220189</v>
      </c>
      <c r="H154" s="148">
        <f>F154*Conversions!$B$6</f>
        <v>10.118499223478212</v>
      </c>
      <c r="I154" s="148">
        <f>F154*(1+'NG Parameters'!$D$45/100)</f>
        <v>0.12793504765317282</v>
      </c>
      <c r="J154" s="148">
        <f>G154*(1+'NG Parameters'!$D$45/100)</f>
        <v>4.6056617155142208</v>
      </c>
      <c r="K154" s="148">
        <f>H154*(1+'NG Parameters'!$D$45/100)</f>
        <v>11.130349145826035</v>
      </c>
    </row>
    <row r="155" spans="1:11" x14ac:dyDescent="0.2">
      <c r="B155" s="43" t="s">
        <v>51</v>
      </c>
      <c r="C155" s="68">
        <f>IF('NG Parameters'!$D$44="No",F155,I155)</f>
        <v>0.8955944072383597</v>
      </c>
      <c r="D155" s="68">
        <f>IF('NG Parameters'!$D$44="No",G155,J155)</f>
        <v>32.241398660580948</v>
      </c>
      <c r="E155" s="68">
        <f>IF('NG Parameters'!$D$44="No",H155,K155)</f>
        <v>77.9167134297373</v>
      </c>
      <c r="F155" s="148">
        <f>SUM(E166:E180,E186:E188,E193:E194)</f>
        <v>0.8955944072383597</v>
      </c>
      <c r="G155" s="148">
        <f>F155*Conversions!$B$7</f>
        <v>32.241398660580948</v>
      </c>
      <c r="H155" s="148">
        <f>F155*Conversions!$B$6</f>
        <v>77.9167134297373</v>
      </c>
      <c r="I155" s="148">
        <f>F155*(1+'NG Parameters'!$D$45/100)</f>
        <v>0.98515384796219574</v>
      </c>
      <c r="J155" s="148">
        <f>G155*(1+'NG Parameters'!$D$45/100)</f>
        <v>35.465538526639044</v>
      </c>
      <c r="K155" s="148">
        <f>H155*(1+'NG Parameters'!$D$45/100)</f>
        <v>85.708384772711042</v>
      </c>
    </row>
    <row r="156" spans="1:11" x14ac:dyDescent="0.2">
      <c r="B156" s="46"/>
      <c r="C156" s="69"/>
    </row>
    <row r="157" spans="1:11" x14ac:dyDescent="0.2">
      <c r="B157" s="5" t="s">
        <v>24</v>
      </c>
      <c r="C157" s="17">
        <f>'NG Parameters'!D$43</f>
        <v>1037</v>
      </c>
      <c r="D157" s="4" t="s">
        <v>102</v>
      </c>
    </row>
    <row r="158" spans="1:11" ht="16" x14ac:dyDescent="0.2">
      <c r="B158" s="5" t="s">
        <v>100</v>
      </c>
      <c r="C158" s="103">
        <f>Conversions!B$2</f>
        <v>51505.644797356501</v>
      </c>
      <c r="D158" s="21" t="s">
        <v>101</v>
      </c>
    </row>
    <row r="159" spans="1:11" ht="16" x14ac:dyDescent="0.2">
      <c r="B159" s="9" t="s">
        <v>44</v>
      </c>
      <c r="C159" s="104">
        <f>'NG Parameters'!D$42</f>
        <v>7300</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159">
        <f>'NG Parameters'!D21/100</f>
        <v>8.9999999999999998E-4</v>
      </c>
      <c r="E166" s="56">
        <f>C166*10^6/C$158*10^3/(C$157*10^6)*C$159*1000</f>
        <v>0.12300755458202742</v>
      </c>
      <c r="F166" s="59">
        <f>E166/'NG Parameters'!$D$42*10^6*0.000948</f>
        <v>1.5974131745720817E-2</v>
      </c>
      <c r="G166" s="87">
        <f>F166*Conversions!$B$7</f>
        <v>0.57506874284594944</v>
      </c>
    </row>
    <row r="167" spans="2:7" x14ac:dyDescent="0.2">
      <c r="B167" s="73" t="s">
        <v>95</v>
      </c>
      <c r="D167" s="56"/>
      <c r="E167" s="47">
        <f>(C174)/C$158*C175/(C$157/10^6)*C$159</f>
        <v>0.31121460673077711</v>
      </c>
      <c r="F167" s="59">
        <f>E167/'NG Parameters'!$D$42*10^6*0.000948</f>
        <v>4.0415266737092698E-2</v>
      </c>
      <c r="G167" s="87">
        <f>F167*Conversions!$B$7</f>
        <v>1.4549496025353372</v>
      </c>
    </row>
    <row r="168" spans="2:7" x14ac:dyDescent="0.2">
      <c r="B168" s="26" t="s">
        <v>13</v>
      </c>
      <c r="C168" s="74">
        <f>'NG Parameters'!D31/100</f>
        <v>1.5E-3</v>
      </c>
      <c r="D168" s="56"/>
      <c r="G168" s="59"/>
    </row>
    <row r="169" spans="2:7" x14ac:dyDescent="0.2">
      <c r="B169" s="26" t="s">
        <v>12</v>
      </c>
      <c r="C169" s="17">
        <f>'NG Parameters'!D27</f>
        <v>821</v>
      </c>
      <c r="D169" s="4" t="s">
        <v>105</v>
      </c>
      <c r="G169" s="59"/>
    </row>
    <row r="170" spans="2:7" x14ac:dyDescent="0.2">
      <c r="B170" s="26" t="s">
        <v>171</v>
      </c>
      <c r="C170" s="17">
        <f>'NG Parameters'!D28/2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Parameters'!D30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Parameters'!D26/100</f>
        <v>0.1</v>
      </c>
      <c r="G175" s="59"/>
    </row>
    <row r="176" spans="2:7" x14ac:dyDescent="0.2">
      <c r="B176" s="48"/>
      <c r="G176" s="59"/>
    </row>
    <row r="177" spans="1:7" x14ac:dyDescent="0.2">
      <c r="A177" s="2" t="s">
        <v>91</v>
      </c>
      <c r="B177" s="73" t="s">
        <v>96</v>
      </c>
      <c r="C177" s="159">
        <f>'NG Parameters'!D34/100</f>
        <v>8.9999999999999998E-4</v>
      </c>
      <c r="E177" s="56">
        <f>C177*10^6/C$158*10^3/(C$157*10^6)*C$159*1000</f>
        <v>0.12300755458202742</v>
      </c>
      <c r="F177" s="59">
        <f>E177/'NG Parameters'!$D$42*10^6*0.000948</f>
        <v>1.5974131745720817E-2</v>
      </c>
      <c r="G177" s="87">
        <f>F177*Conversions!$B$7</f>
        <v>0.57506874284594944</v>
      </c>
    </row>
    <row r="178" spans="1:7" x14ac:dyDescent="0.2">
      <c r="B178" s="76" t="s">
        <v>97</v>
      </c>
      <c r="C178" s="159">
        <f>'NG Parameters'!D39/100</f>
        <v>2.9999999999999997E-4</v>
      </c>
      <c r="E178" s="56">
        <f>C178*10^6/C$158*10^3/(C$157*10^6)*C$159*1000</f>
        <v>4.100251819400913E-2</v>
      </c>
      <c r="F178" s="59">
        <f>E178/'NG Parameters'!$D$42*10^6*0.000948</f>
        <v>5.3247105819069383E-3</v>
      </c>
      <c r="G178" s="87">
        <f>F178*Conversions!$B$7</f>
        <v>0.19168958094864977</v>
      </c>
    </row>
    <row r="179" spans="1:7" x14ac:dyDescent="0.2">
      <c r="B179" s="76" t="s">
        <v>98</v>
      </c>
      <c r="C179" s="159">
        <f>'NG Parameters'!D40/100</f>
        <v>2.9999999999999997E-4</v>
      </c>
      <c r="E179" s="56">
        <f>C179*10^6/C$158*10^3/(C$157*10^6)*C$159*1000</f>
        <v>4.100251819400913E-2</v>
      </c>
      <c r="F179" s="59">
        <f>E179/'NG Parameters'!$D$42*10^6*0.000948</f>
        <v>5.3247105819069383E-3</v>
      </c>
      <c r="G179" s="87">
        <f>F179*Conversions!$B$7</f>
        <v>0.19168958094864977</v>
      </c>
    </row>
    <row r="180" spans="1:7" x14ac:dyDescent="0.2">
      <c r="B180" s="76" t="s">
        <v>99</v>
      </c>
      <c r="C180" s="159">
        <f>'NG Parameters'!D41/100</f>
        <v>2.9999999999999997E-4</v>
      </c>
      <c r="E180" s="56">
        <f>C180*10^6/C$158*10^3/(C$157*10^6)*C$159*1000</f>
        <v>4.100251819400913E-2</v>
      </c>
      <c r="F180" s="59">
        <f>E180/'NG Parameters'!$D$42*10^6*0.000948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87"/>
    </row>
    <row r="186" spans="1:7" s="80" customFormat="1" x14ac:dyDescent="0.2">
      <c r="B186" s="73" t="s">
        <v>94</v>
      </c>
      <c r="C186" s="160">
        <f>'NG Parameters'!D24/100</f>
        <v>9.300000000000001E-3</v>
      </c>
      <c r="D186" s="58">
        <f>'NG Parameters'!D22/100</f>
        <v>0.1</v>
      </c>
      <c r="E186" s="84">
        <f>D186*C186*10^6/C$158/C$157*C$159</f>
        <v>0.12710780640142835</v>
      </c>
      <c r="F186" s="59">
        <f>E186/'NG Parameters'!$D$42*10^6*0.000948</f>
        <v>1.6506602803911516E-2</v>
      </c>
      <c r="G186" s="87">
        <f>F186*Conversions!$B$7</f>
        <v>0.59423770094081463</v>
      </c>
    </row>
    <row r="187" spans="1:7" s="80" customFormat="1" x14ac:dyDescent="0.2">
      <c r="B187" s="85" t="s">
        <v>95</v>
      </c>
      <c r="C187" s="160">
        <f>'NG Parameters'!D32/100</f>
        <v>1.7000000000000001E-2</v>
      </c>
      <c r="D187" s="83"/>
      <c r="E187" s="86">
        <f>C187/C157*10^6/C$158*C$174*(1-C$175)*C$159</f>
        <v>4.7615834829808891E-2</v>
      </c>
      <c r="F187" s="59">
        <f>E187/'NG Parameters'!$D$42*10^6*0.000948</f>
        <v>6.1835358107751818E-3</v>
      </c>
      <c r="G187" s="87">
        <f>F187*Conversions!$B$7</f>
        <v>0.22260728918790654</v>
      </c>
    </row>
    <row r="188" spans="1:7" x14ac:dyDescent="0.2">
      <c r="B188" s="73" t="s">
        <v>96</v>
      </c>
      <c r="C188" s="160">
        <f>'NG Parameters'!D37/100</f>
        <v>9.300000000000001E-3</v>
      </c>
      <c r="D188" s="159">
        <f>'NG Parameters'!D35/100</f>
        <v>1.1000000000000001E-2</v>
      </c>
      <c r="E188" s="84">
        <f>D188*C188*10^6/C$158/C$157*C$159</f>
        <v>1.3981858704157118E-2</v>
      </c>
      <c r="F188" s="59">
        <f>E188/'NG Parameters'!$D$42*10^6*0.000948</f>
        <v>1.8157263084302667E-3</v>
      </c>
      <c r="G188" s="87">
        <f>F188*Conversions!$B$7</f>
        <v>6.5366147103489605E-2</v>
      </c>
    </row>
    <row r="189" spans="1:7" s="80" customFormat="1" x14ac:dyDescent="0.2">
      <c r="B189" s="55"/>
      <c r="C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Parameters'!D25/100</f>
        <v>0.05</v>
      </c>
      <c r="D193" s="204">
        <f>'NG Parameters'!$D$23/100</f>
        <v>3.0000000000000001E-3</v>
      </c>
      <c r="E193" s="84">
        <f>D193*C193*10^6/C$158/C$157*C$159</f>
        <v>2.0501259097004568E-2</v>
      </c>
      <c r="F193" s="207">
        <f>E193/'NG Parameters'!$D$42*10^6*0.000948</f>
        <v>2.6623552909534696E-3</v>
      </c>
      <c r="G193" s="208">
        <f>F193*Conversions!$B$7</f>
        <v>9.5844790474324898E-2</v>
      </c>
    </row>
    <row r="194" spans="1:7" x14ac:dyDescent="0.2">
      <c r="B194" s="73" t="s">
        <v>96</v>
      </c>
      <c r="C194" s="203">
        <f>'NG Parameters'!D38/100</f>
        <v>0.05</v>
      </c>
      <c r="D194" s="204">
        <f>'NG Parameters'!$D$36/100</f>
        <v>8.9999999999999998E-4</v>
      </c>
      <c r="E194" s="84">
        <f>D194*C194*10^6/C$158/C$157*C$159</f>
        <v>6.1503777291013707E-3</v>
      </c>
      <c r="F194" s="207">
        <f>E194/'NG Parameters'!$D$42*10^6*0.000948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Parameters'!$D$44="No",D199,E199)</f>
        <v>115.1033963261099</v>
      </c>
      <c r="D199" s="148">
        <f>C215/C220*10^12</f>
        <v>115.1033963261099</v>
      </c>
      <c r="E199" s="148">
        <f>D199*(1+'NG Parameters'!$D$45/100)</f>
        <v>126.61373595872091</v>
      </c>
    </row>
    <row r="200" spans="1:7" x14ac:dyDescent="0.2">
      <c r="B200" s="43" t="s">
        <v>50</v>
      </c>
      <c r="C200" s="63">
        <f>IF('NG Parameters'!$D$44="No",D200,E200)</f>
        <v>0.10911801971715218</v>
      </c>
      <c r="D200" s="148">
        <f>D199*Conversions!$B$8</f>
        <v>0.10911801971715218</v>
      </c>
      <c r="E200" s="148">
        <f>D200*(1+'NG Parameters'!$D$45/100)</f>
        <v>0.1200298216888674</v>
      </c>
    </row>
    <row r="201" spans="1:7" x14ac:dyDescent="0.2">
      <c r="A201" s="2" t="s">
        <v>91</v>
      </c>
      <c r="B201" s="43" t="s">
        <v>51</v>
      </c>
      <c r="C201" s="63">
        <f>IF('NG Parameters'!$D$44="No",D201,E201)</f>
        <v>0.84025479318060226</v>
      </c>
      <c r="D201" s="148">
        <f>D199*C$203/10^6</f>
        <v>0.84025479318060226</v>
      </c>
      <c r="E201" s="148">
        <f>D201*(1+'NG Parameters'!$D$45/100)</f>
        <v>0.92428027249866251</v>
      </c>
    </row>
    <row r="203" spans="1:7" ht="16" x14ac:dyDescent="0.2">
      <c r="B203" s="9" t="s">
        <v>44</v>
      </c>
      <c r="C203" s="104">
        <f>'NG Parameters'!D$42</f>
        <v>7300</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Parameters'!$D50/100*44/16</f>
        <v>44.459823855473147</v>
      </c>
      <c r="E206" s="141"/>
    </row>
    <row r="207" spans="1:7" x14ac:dyDescent="0.2">
      <c r="B207" s="80" t="s">
        <v>23</v>
      </c>
      <c r="D207" s="87">
        <f>SUM(C205:D206)</f>
        <v>44.950622926269482</v>
      </c>
      <c r="E207" s="56"/>
      <c r="F207" s="87"/>
    </row>
    <row r="208" spans="1:7" x14ac:dyDescent="0.2">
      <c r="B208" s="80"/>
      <c r="C208" s="87"/>
      <c r="D208" s="2"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Parameters'!D19</f>
        <v>4.6245496837725802E-2</v>
      </c>
      <c r="D213" s="165" t="s">
        <v>342</v>
      </c>
    </row>
    <row r="214" spans="1:6" x14ac:dyDescent="0.2">
      <c r="B214" s="164" t="s">
        <v>344</v>
      </c>
      <c r="C214" s="17">
        <f>'NG Parameters'!D10+'NG Parameters'!D13</f>
        <v>80.466999999999999</v>
      </c>
      <c r="D214" s="170" t="s">
        <v>321</v>
      </c>
    </row>
    <row r="215" spans="1:6" x14ac:dyDescent="0.2">
      <c r="B215" s="172" t="s">
        <v>345</v>
      </c>
      <c r="C215" s="87">
        <f>C213*C$214</f>
        <v>3.721236394041282</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Parameters'!$D$44="No",D225,E225)</f>
        <v>7504.386786116117</v>
      </c>
      <c r="D225" s="148">
        <f>D227/'NG Parameters'!$D$42*10^6</f>
        <v>7504.386786116117</v>
      </c>
      <c r="E225" s="148">
        <f>D225*(1+'NG Parameters'!$D$45/100)</f>
        <v>8254.8254647277299</v>
      </c>
    </row>
    <row r="226" spans="2:6" x14ac:dyDescent="0.2">
      <c r="B226" s="43" t="s">
        <v>50</v>
      </c>
      <c r="C226" s="68">
        <f>IF('NG Parameters'!$D$44="No",D226,E226)</f>
        <v>7.1141586732380784</v>
      </c>
      <c r="D226" s="148">
        <f>D225*Conversions!$B$8</f>
        <v>7.1141586732380784</v>
      </c>
      <c r="E226" s="148">
        <f>D226*(1+'NG Parameters'!$D$45/100)</f>
        <v>7.8255745405618873</v>
      </c>
    </row>
    <row r="227" spans="2:6" x14ac:dyDescent="0.2">
      <c r="B227" s="43" t="s">
        <v>51</v>
      </c>
      <c r="C227" s="68">
        <f>IF('NG Parameters'!$D$44="No",D227,E227)</f>
        <v>54.78202353864765</v>
      </c>
      <c r="D227" s="148">
        <f>SUM(E249:E250)+SUM(E236:E245)</f>
        <v>54.78202353864765</v>
      </c>
      <c r="E227" s="148">
        <f>D227*(1+'NG Parameters'!$D$45/100)</f>
        <v>60.260225892512416</v>
      </c>
    </row>
    <row r="228" spans="2:6" x14ac:dyDescent="0.2">
      <c r="B228" s="46"/>
      <c r="C228" s="69"/>
    </row>
    <row r="229" spans="2:6" ht="16" x14ac:dyDescent="0.2">
      <c r="B229" s="9" t="s">
        <v>44</v>
      </c>
      <c r="C229" s="104">
        <f>'NG Parameters'!D$42</f>
        <v>7300</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Parameters'!D22/100</f>
        <v>0.1</v>
      </c>
      <c r="E236" s="93">
        <f>C236*C$230/10^3*C$231*C$229</f>
        <v>38.624299999999998</v>
      </c>
      <c r="F236" s="133">
        <f>E236/'NG Parameters'!$D$42*10^6*0.000948</f>
        <v>5.0158679999999993</v>
      </c>
    </row>
    <row r="237" spans="2:6" s="66" customFormat="1" x14ac:dyDescent="0.2">
      <c r="B237" s="73" t="s">
        <v>95</v>
      </c>
      <c r="C237" s="92"/>
      <c r="E237" s="93">
        <f>C$241*C$243/(C$242*C$238/10^6*C$239*C$240*10^3)*C$229</f>
        <v>10.402702838647645</v>
      </c>
      <c r="F237" s="133">
        <f>E237/'NG Parameters'!$D$42*10^6*0.000948</f>
        <v>1.3509263412380776</v>
      </c>
    </row>
    <row r="238" spans="2:6" s="66" customFormat="1" x14ac:dyDescent="0.2">
      <c r="B238" s="113" t="s">
        <v>24</v>
      </c>
      <c r="C238" s="17">
        <f>'NG Parameters'!D$43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Parameters'!D28</f>
        <v>20000</v>
      </c>
      <c r="D241" s="26" t="s">
        <v>64</v>
      </c>
      <c r="E241" s="2" t="s">
        <v>173</v>
      </c>
    </row>
    <row r="242" spans="1:6" s="66" customFormat="1" x14ac:dyDescent="0.2">
      <c r="B242" s="113" t="s">
        <v>121</v>
      </c>
      <c r="C242" s="17">
        <f>'NG Parameters'!D29</f>
        <v>260000</v>
      </c>
      <c r="D242" s="26" t="s">
        <v>122</v>
      </c>
      <c r="E242" s="93"/>
    </row>
    <row r="243" spans="1:6" s="66" customFormat="1" x14ac:dyDescent="0.2">
      <c r="B243" s="113" t="s">
        <v>85</v>
      </c>
      <c r="C243" s="17">
        <f>'NG Parameters'!D33</f>
        <v>407</v>
      </c>
      <c r="D243" s="26" t="s">
        <v>123</v>
      </c>
      <c r="E243" s="93"/>
    </row>
    <row r="244" spans="1:6" s="66" customFormat="1" x14ac:dyDescent="0.2">
      <c r="B244" s="73" t="s">
        <v>96</v>
      </c>
      <c r="C244" s="92">
        <f>'NG Parameters'!D35/100</f>
        <v>1.1000000000000001E-2</v>
      </c>
      <c r="E244" s="93">
        <f>C244*C$230/10^3*C$231*C$229</f>
        <v>4.248673000000001</v>
      </c>
      <c r="F244" s="133">
        <f>E244/'NG Parameters'!$D$42*10^6*0.000948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94">
        <f>'NG Parameters'!$D$23/100</f>
        <v>3.0000000000000001E-3</v>
      </c>
      <c r="E249" s="93">
        <f>C249*C$230/10^3*C$231*C$229</f>
        <v>1.1587289999999999</v>
      </c>
      <c r="F249" s="87">
        <f>E249/'NG Parameters'!$D$42*10^6*0.000948</f>
        <v>0.15047603999999998</v>
      </c>
    </row>
    <row r="250" spans="1:6" s="80" customFormat="1" x14ac:dyDescent="0.2">
      <c r="B250" s="81" t="s">
        <v>96</v>
      </c>
      <c r="C250" s="94">
        <f>'NG Parameters'!$D$36/100</f>
        <v>8.9999999999999998E-4</v>
      </c>
      <c r="E250" s="93">
        <f>C250*C$230/10^3*C$231*C$229</f>
        <v>0.34761869999999995</v>
      </c>
      <c r="F250" s="87">
        <f>E250/'NG Parameters'!$D$42*10^6*0.000948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Parameters'!$D$44="No",D254,E254)</f>
        <v>52910</v>
      </c>
      <c r="D254" s="145">
        <f>C256/C$258*10^6</f>
        <v>52910</v>
      </c>
      <c r="E254" s="145">
        <f>D254*(1-'NG Parameters'!$D$46/100)*(1+'NG Parameters'!$D$45/100)</f>
        <v>5820.0999999999995</v>
      </c>
    </row>
    <row r="255" spans="1:6" x14ac:dyDescent="0.2">
      <c r="B255" s="43" t="s">
        <v>50</v>
      </c>
      <c r="C255" s="63">
        <f>IF('NG Parameters'!$D$44="No",D255,E255)</f>
        <v>50.158679999999997</v>
      </c>
      <c r="D255" s="145">
        <f>C254*Conversions!$B$8</f>
        <v>50.158679999999997</v>
      </c>
      <c r="E255" s="145">
        <f>D255*(1-'NG Parameters'!$D$46/100)*(1+'NG Parameters'!$D$45/100)</f>
        <v>5.5174547999999985</v>
      </c>
    </row>
    <row r="256" spans="1:6" x14ac:dyDescent="0.2">
      <c r="B256" s="43" t="s">
        <v>51</v>
      </c>
      <c r="C256" s="63">
        <f>IF('NG Parameters'!$D$44="No",D256,E256)</f>
        <v>386.24299999999999</v>
      </c>
      <c r="D256" s="145">
        <f>C258*C261/10^3</f>
        <v>386.24299999999999</v>
      </c>
      <c r="E256" s="145">
        <f>D256*(1-'NG Parameters'!$D$46/100)*(1+'NG Parameters'!$D$45/100)</f>
        <v>42.486729999999994</v>
      </c>
    </row>
    <row r="258" spans="1:5" x14ac:dyDescent="0.2">
      <c r="B258" s="2" t="s">
        <v>44</v>
      </c>
      <c r="C258" s="57">
        <f>'NG Parameters'!D$42</f>
        <v>7300</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54D6FF3E-A2D2-BA4A-85D3-EA46BB5E1A7B}"/>
    <hyperlink ref="E51" r:id="rId2" xr:uid="{F0858BB2-47ED-9849-8411-A9135F3C2591}"/>
    <hyperlink ref="E50" r:id="rId3" xr:uid="{66C7D8E9-76EC-CA4E-8D69-BDCD1CED8993}"/>
    <hyperlink ref="F140" r:id="rId4" xr:uid="{5BDAA25D-510A-6D44-88EF-65F6D07820F1}"/>
    <hyperlink ref="F143" r:id="rId5" xr:uid="{42E3776D-F007-0D47-8811-8FD284FE1D3E}"/>
    <hyperlink ref="F142" r:id="rId6" xr:uid="{974FBDEB-83FB-504F-8BE6-D84A2C9F3F93}"/>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194C-6FEA-264A-8A6E-6F5B57963F25}">
  <sheetPr codeName="Sheet18"/>
  <dimension ref="A1:X262"/>
  <sheetViews>
    <sheetView topLeftCell="A237" zoomScale="99" workbookViewId="0">
      <selection activeCell="E247" sqref="E247"/>
    </sheetView>
  </sheetViews>
  <sheetFormatPr baseColWidth="10" defaultColWidth="31.83203125" defaultRowHeight="15" x14ac:dyDescent="0.2"/>
  <cols>
    <col min="1" max="1" width="21.5" style="2" customWidth="1"/>
    <col min="2" max="2" width="41.5" style="2" bestFit="1" customWidth="1"/>
    <col min="3" max="3" width="33.6640625" style="2" customWidth="1"/>
    <col min="4" max="4" width="24.6640625" style="2" customWidth="1"/>
    <col min="5" max="5" width="31.83203125" style="2"/>
    <col min="6" max="6" width="14.1640625" style="2" customWidth="1"/>
    <col min="7" max="8" width="18.6640625" style="2" customWidth="1"/>
    <col min="9" max="9" width="19.6640625" style="2" customWidth="1"/>
    <col min="10" max="10" width="12.6640625" style="2" bestFit="1" customWidth="1"/>
    <col min="11" max="11" width="11.6640625" style="2" bestFit="1" customWidth="1"/>
    <col min="12"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Parameters'!$E$44="No",F4,I4)</f>
        <v>324.86223582840944</v>
      </c>
      <c r="D4" s="45">
        <f>IF('NG Parameters'!$E$44="No",G4,J4)</f>
        <v>11695.040489822739</v>
      </c>
      <c r="E4" s="45">
        <f>IF('NG Parameters'!$E$44="No",H4,K4)</f>
        <v>28263.014517071621</v>
      </c>
      <c r="F4" s="148">
        <f>C9/C11*C12/C10*10^12</f>
        <v>324.86223582840944</v>
      </c>
      <c r="G4" s="148">
        <f>F4*Conversions!$B$7</f>
        <v>11695.040489822739</v>
      </c>
      <c r="H4" s="148">
        <f>F4*Conversions!$B$6</f>
        <v>28263.014517071621</v>
      </c>
      <c r="I4" s="148">
        <f>F4*(1+'NG Parameters'!$E$45/100)</f>
        <v>357.34845941125042</v>
      </c>
      <c r="J4" s="148">
        <f>G4*(1+'NG Parameters'!$E$45/100)</f>
        <v>12864.544538805014</v>
      </c>
      <c r="K4" s="148">
        <f>H4*(1+'NG Parameters'!$E$45/100)</f>
        <v>31089.315968778785</v>
      </c>
    </row>
    <row r="5" spans="1:11" x14ac:dyDescent="0.2">
      <c r="B5" s="43" t="s">
        <v>50</v>
      </c>
      <c r="C5" s="45">
        <f>IF('NG Parameters'!$E$44="No",F5,I5)</f>
        <v>0.30796939956533215</v>
      </c>
      <c r="D5" s="45">
        <f>IF('NG Parameters'!$E$44="No",G5,J5)</f>
        <v>11.086898384351958</v>
      </c>
      <c r="E5" s="45">
        <f>IF('NG Parameters'!$E$44="No",H5,K5)</f>
        <v>26.793337762183896</v>
      </c>
      <c r="F5" s="148">
        <f>F4*Conversions!$B$8</f>
        <v>0.30796939956533215</v>
      </c>
      <c r="G5" s="148">
        <f>F5*Conversions!$B$7</f>
        <v>11.086898384351958</v>
      </c>
      <c r="H5" s="148">
        <f>F5*Conversions!$B$6</f>
        <v>26.793337762183896</v>
      </c>
      <c r="I5" s="148">
        <f>F5*(1+'NG Parameters'!$E$45/100)</f>
        <v>0.33876633952186541</v>
      </c>
      <c r="J5" s="148">
        <f>G5*(1+'NG Parameters'!$E$45/100)</f>
        <v>12.195588222787155</v>
      </c>
      <c r="K5" s="148">
        <f>H5*(1+'NG Parameters'!$E$45/100)</f>
        <v>29.472671538402288</v>
      </c>
    </row>
    <row r="6" spans="1:11" x14ac:dyDescent="0.2">
      <c r="B6" s="43" t="s">
        <v>51</v>
      </c>
      <c r="C6" s="45">
        <f>IF('NG Parameters'!$E$44="No",F6,I6)</f>
        <v>2.2302413453652576</v>
      </c>
      <c r="D6" s="45">
        <f>IF('NG Parameters'!$E$44="No",G6,J6)</f>
        <v>80.288688433149275</v>
      </c>
      <c r="E6" s="45">
        <f>IF('NG Parameters'!$E$44="No",H6,K6)</f>
        <v>194.03099704677743</v>
      </c>
      <c r="F6" s="148">
        <f>F4*C$8/10^6</f>
        <v>2.2302413453652576</v>
      </c>
      <c r="G6" s="148">
        <f>F6*Conversions!$B$7</f>
        <v>80.288688433149275</v>
      </c>
      <c r="H6" s="148">
        <f>F6*Conversions!$B$6</f>
        <v>194.03099704677743</v>
      </c>
      <c r="I6" s="148">
        <f>F6*(1+'NG Parameters'!$E$45/100)</f>
        <v>2.4532654799017837</v>
      </c>
      <c r="J6" s="148">
        <f>G6*(1+'NG Parameters'!$E$45/100)</f>
        <v>88.317557276464214</v>
      </c>
      <c r="K6" s="148">
        <f>H6*(1+'NG Parameters'!$E$45/100)</f>
        <v>213.4340967514552</v>
      </c>
    </row>
    <row r="7" spans="1:11" x14ac:dyDescent="0.2">
      <c r="B7" s="46"/>
      <c r="C7" s="47"/>
    </row>
    <row r="8" spans="1:11" ht="16" x14ac:dyDescent="0.2">
      <c r="B8" s="9" t="s">
        <v>44</v>
      </c>
      <c r="C8" s="104">
        <f>'NG Parameters'!E$42</f>
        <v>6865.1911468812878</v>
      </c>
      <c r="D8" s="26" t="s">
        <v>45</v>
      </c>
    </row>
    <row r="9" spans="1:11" x14ac:dyDescent="0.2">
      <c r="B9" s="27" t="s">
        <v>218</v>
      </c>
      <c r="C9" s="49">
        <f>'NG Parameters'!E4/100</f>
        <v>1.8264559754672928E-2</v>
      </c>
      <c r="D9" s="27"/>
    </row>
    <row r="10" spans="1:11" x14ac:dyDescent="0.2">
      <c r="B10" s="27" t="s">
        <v>24</v>
      </c>
      <c r="C10" s="50">
        <f>'NG Parameters'!E$43</f>
        <v>1037</v>
      </c>
      <c r="D10" s="26" t="s">
        <v>25</v>
      </c>
    </row>
    <row r="11" spans="1:11" ht="16" x14ac:dyDescent="0.2">
      <c r="B11" s="5" t="s">
        <v>100</v>
      </c>
      <c r="C11" s="103">
        <f>Conversions!B$2</f>
        <v>51505.644797356501</v>
      </c>
      <c r="D11" s="120" t="s">
        <v>101</v>
      </c>
    </row>
    <row r="12" spans="1:11" x14ac:dyDescent="0.2">
      <c r="B12" s="27" t="s">
        <v>224</v>
      </c>
      <c r="C12" s="51">
        <f>'NG Parameters'!E52/100</f>
        <v>0.95</v>
      </c>
      <c r="D12" s="27"/>
    </row>
    <row r="13" spans="1:11" x14ac:dyDescent="0.2">
      <c r="B13" s="25"/>
      <c r="C13" s="52"/>
      <c r="D13" s="22"/>
    </row>
    <row r="14" spans="1:11" ht="16" x14ac:dyDescent="0.2">
      <c r="B14" s="27" t="s">
        <v>186</v>
      </c>
      <c r="C14" s="52"/>
      <c r="D14" s="22"/>
      <c r="G14" s="165" t="s">
        <v>396</v>
      </c>
      <c r="H14" s="230" t="s">
        <v>397</v>
      </c>
    </row>
    <row r="15" spans="1:11" x14ac:dyDescent="0.2">
      <c r="C15" s="53" t="s">
        <v>21</v>
      </c>
      <c r="D15" s="53" t="s">
        <v>18</v>
      </c>
      <c r="F15" s="80"/>
      <c r="G15" s="165" t="s">
        <v>278</v>
      </c>
      <c r="H15" s="165" t="s">
        <v>389</v>
      </c>
      <c r="I15" s="165" t="s">
        <v>279</v>
      </c>
    </row>
    <row r="16" spans="1:11" x14ac:dyDescent="0.2">
      <c r="B16" s="80" t="s">
        <v>22</v>
      </c>
      <c r="C16" s="80"/>
      <c r="D16" s="229" t="s">
        <v>389</v>
      </c>
      <c r="E16" s="3" t="s">
        <v>166</v>
      </c>
      <c r="F16" s="165" t="s">
        <v>398</v>
      </c>
    </row>
    <row r="17" spans="2:11" x14ac:dyDescent="0.2">
      <c r="B17" s="55" t="s">
        <v>39</v>
      </c>
      <c r="C17" s="47">
        <f>SUM(C18:C19)*E17*I31</f>
        <v>2.8178611804505111</v>
      </c>
      <c r="D17" s="226">
        <f>HLOOKUP(D16,G15:I21,3,FALSE)*E17*F17</f>
        <v>4.5599999999999996</v>
      </c>
      <c r="E17" s="119">
        <f>'NG Parameters'!E$5/100</f>
        <v>0.6</v>
      </c>
      <c r="F17" s="197">
        <v>1</v>
      </c>
      <c r="G17" s="2">
        <v>6</v>
      </c>
      <c r="H17" s="2">
        <v>7.6</v>
      </c>
      <c r="I17" s="165">
        <v>9.6</v>
      </c>
    </row>
    <row r="18" spans="2:11" x14ac:dyDescent="0.2">
      <c r="B18" s="55" t="s">
        <v>7</v>
      </c>
      <c r="C18" s="226">
        <v>1.891548</v>
      </c>
      <c r="D18" s="226"/>
      <c r="E18" s="118"/>
      <c r="H18" s="165"/>
      <c r="I18" s="62"/>
    </row>
    <row r="19" spans="2:11" x14ac:dyDescent="0.2">
      <c r="B19" s="55" t="s">
        <v>4</v>
      </c>
      <c r="C19" s="226">
        <v>1.4094770000000001</v>
      </c>
      <c r="D19" s="226"/>
      <c r="E19" s="139"/>
      <c r="I19" s="62"/>
    </row>
    <row r="20" spans="2:11" x14ac:dyDescent="0.2">
      <c r="B20" s="55" t="s">
        <v>19</v>
      </c>
      <c r="C20" s="226">
        <v>1.390566</v>
      </c>
      <c r="D20" s="226">
        <f>HLOOKUP(D16,G15:I21,6,FALSE)</f>
        <v>2.6</v>
      </c>
      <c r="E20" s="3"/>
      <c r="G20" s="2">
        <v>2.4</v>
      </c>
      <c r="H20" s="165">
        <v>2.6</v>
      </c>
      <c r="I20" s="62">
        <v>3.2</v>
      </c>
    </row>
    <row r="21" spans="2:11" x14ac:dyDescent="0.2">
      <c r="B21" s="55" t="s">
        <v>20</v>
      </c>
      <c r="C21" s="47">
        <v>0.48785400000000001</v>
      </c>
      <c r="D21" s="226">
        <f>HLOOKUP(D16,G15:I21,7,FALSE)</f>
        <v>0.72</v>
      </c>
      <c r="G21" s="56">
        <v>0.65</v>
      </c>
      <c r="H21" s="47">
        <v>0.72</v>
      </c>
      <c r="I21" s="56">
        <v>0.92</v>
      </c>
    </row>
    <row r="22" spans="2:11" x14ac:dyDescent="0.2">
      <c r="B22" s="55" t="s">
        <v>23</v>
      </c>
      <c r="C22" s="47">
        <f>SUM(C17,C20:C21)</f>
        <v>4.6962811804505105</v>
      </c>
      <c r="D22" s="226">
        <f>SUM(D17,D20:D21)</f>
        <v>7.88</v>
      </c>
      <c r="G22" s="226">
        <f>SUM(G17,G20:G21)</f>
        <v>9.0500000000000007</v>
      </c>
      <c r="H22" s="226">
        <f t="shared" ref="H22:I22" si="0">SUM(H17,H20:H21)</f>
        <v>10.92</v>
      </c>
      <c r="I22" s="226">
        <f t="shared" si="0"/>
        <v>13.72</v>
      </c>
    </row>
    <row r="23" spans="2:11" x14ac:dyDescent="0.2">
      <c r="B23" s="55"/>
      <c r="C23" s="47"/>
      <c r="D23" s="47"/>
    </row>
    <row r="24" spans="2:11" x14ac:dyDescent="0.2">
      <c r="B24" s="80" t="s">
        <v>38</v>
      </c>
      <c r="C24" s="80"/>
      <c r="D24" s="80"/>
      <c r="E24" s="118" t="s">
        <v>167</v>
      </c>
    </row>
    <row r="25" spans="2:11" x14ac:dyDescent="0.2">
      <c r="B25" s="55" t="s">
        <v>39</v>
      </c>
      <c r="C25" s="47">
        <f>C17*C$11/10^3/E25</f>
        <v>174.86235788981173</v>
      </c>
      <c r="D25" s="47">
        <f>D17*C$11/10^3/E25</f>
        <v>282.97077141680199</v>
      </c>
      <c r="E25" s="119">
        <f>'NG Parameters'!E47/100</f>
        <v>0.83</v>
      </c>
      <c r="H25" s="165" t="s">
        <v>286</v>
      </c>
      <c r="I25" s="165" t="s">
        <v>274</v>
      </c>
      <c r="J25" s="165" t="s">
        <v>277</v>
      </c>
    </row>
    <row r="26" spans="2:11" ht="16" x14ac:dyDescent="0.2">
      <c r="B26" s="55" t="s">
        <v>7</v>
      </c>
      <c r="C26" s="47"/>
      <c r="D26" s="122"/>
      <c r="E26" s="119">
        <f>'NG Parameters'!E47/100</f>
        <v>0.83</v>
      </c>
      <c r="G26" s="165" t="s">
        <v>301</v>
      </c>
      <c r="H26" s="62">
        <v>477513</v>
      </c>
      <c r="I26">
        <v>91290</v>
      </c>
      <c r="J26" s="62">
        <v>95190</v>
      </c>
      <c r="K26" s="165" t="s">
        <v>375</v>
      </c>
    </row>
    <row r="27" spans="2:11" x14ac:dyDescent="0.2">
      <c r="B27" s="55" t="s">
        <v>4</v>
      </c>
      <c r="C27" s="47"/>
      <c r="D27" s="122"/>
      <c r="E27" s="119">
        <f>'NG Parameters'!E48/100</f>
        <v>0.83</v>
      </c>
      <c r="G27" s="165" t="s">
        <v>58</v>
      </c>
      <c r="H27" s="62">
        <v>32000000</v>
      </c>
      <c r="I27" s="62">
        <f>K82</f>
        <v>4300000</v>
      </c>
      <c r="J27" s="62">
        <f>O82</f>
        <v>11400000</v>
      </c>
      <c r="K27" s="165" t="s">
        <v>376</v>
      </c>
    </row>
    <row r="28" spans="2:11" x14ac:dyDescent="0.2">
      <c r="B28" s="55" t="s">
        <v>19</v>
      </c>
      <c r="C28" s="47">
        <f>C20*C$11/10^3/E28</f>
        <v>86.291564413591374</v>
      </c>
      <c r="D28" s="47">
        <f>D20*C$11/10^3/E28</f>
        <v>161.34298370256255</v>
      </c>
      <c r="E28" s="119">
        <f>'NG Parameters'!E47/100</f>
        <v>0.83</v>
      </c>
      <c r="H28" s="62"/>
      <c r="I28" s="62"/>
      <c r="J28" s="62"/>
    </row>
    <row r="29" spans="2:11" x14ac:dyDescent="0.2">
      <c r="B29" s="55" t="s">
        <v>20</v>
      </c>
      <c r="C29" s="47">
        <f>C21*C$11/10^3/E29</f>
        <v>30.273776912011517</v>
      </c>
      <c r="D29" s="47">
        <f>D21*C$11/10^3/E29</f>
        <v>44.679595486863477</v>
      </c>
      <c r="E29" s="119">
        <f>'NG Parameters'!E49/100</f>
        <v>0.83</v>
      </c>
      <c r="G29" s="165" t="s">
        <v>299</v>
      </c>
      <c r="H29" s="62">
        <f>H27/H26</f>
        <v>67.013882344564436</v>
      </c>
      <c r="I29" s="62">
        <f>I27/I26</f>
        <v>47.102639938657028</v>
      </c>
      <c r="J29" s="62">
        <f>J27/J26</f>
        <v>119.76047904191617</v>
      </c>
    </row>
    <row r="30" spans="2:11" x14ac:dyDescent="0.2">
      <c r="B30" s="55" t="s">
        <v>23</v>
      </c>
      <c r="C30" s="47">
        <f>SUM(C25:C29)</f>
        <v>291.42769921541458</v>
      </c>
      <c r="D30" s="47">
        <f>SUM(D25:D29)</f>
        <v>488.99335060622803</v>
      </c>
      <c r="G30" s="165" t="s">
        <v>353</v>
      </c>
      <c r="H30" s="62"/>
      <c r="I30" s="214">
        <f>I29/H29</f>
        <v>0.70287884078212293</v>
      </c>
      <c r="J30" s="214">
        <f>J29/H29</f>
        <v>1.7870995508982037</v>
      </c>
    </row>
    <row r="31" spans="2:11" x14ac:dyDescent="0.2">
      <c r="B31" s="80"/>
      <c r="C31" s="47"/>
      <c r="D31" s="47"/>
      <c r="I31" s="216">
        <f>1/I30</f>
        <v>1.422720306798904</v>
      </c>
      <c r="J31" s="215">
        <f>1/J30</f>
        <v>0.55956591757711305</v>
      </c>
    </row>
    <row r="32" spans="2:11" x14ac:dyDescent="0.2">
      <c r="B32" s="55" t="s">
        <v>192</v>
      </c>
      <c r="C32" s="65"/>
      <c r="D32" s="65"/>
    </row>
    <row r="33" spans="2:5" x14ac:dyDescent="0.2">
      <c r="B33" s="55" t="s">
        <v>39</v>
      </c>
      <c r="C33" s="83">
        <f>C25/$C$52</f>
        <v>5.6088776336786954E-3</v>
      </c>
      <c r="D33" s="83">
        <f>D25/$D$52</f>
        <v>1.0569339147374179E-2</v>
      </c>
    </row>
    <row r="34" spans="2:5" x14ac:dyDescent="0.2">
      <c r="B34" s="55" t="s">
        <v>7</v>
      </c>
      <c r="C34" s="83"/>
      <c r="D34" s="83"/>
    </row>
    <row r="35" spans="2:5" x14ac:dyDescent="0.2">
      <c r="B35" s="55" t="s">
        <v>4</v>
      </c>
      <c r="C35" s="83"/>
      <c r="D35" s="83"/>
    </row>
    <row r="36" spans="2:5" x14ac:dyDescent="0.2">
      <c r="B36" s="55" t="s">
        <v>19</v>
      </c>
      <c r="C36" s="83">
        <f>C28/$C$52</f>
        <v>2.7678845890864944E-3</v>
      </c>
      <c r="D36" s="83">
        <f>D28/$D$52</f>
        <v>6.0263775840291378E-3</v>
      </c>
    </row>
    <row r="37" spans="2:5" x14ac:dyDescent="0.2">
      <c r="B37" s="55" t="s">
        <v>20</v>
      </c>
      <c r="C37" s="83">
        <f>C29/$C$52</f>
        <v>9.7106039434604523E-4</v>
      </c>
      <c r="D37" s="83">
        <f>D29/$D$52</f>
        <v>1.6688430232696075E-3</v>
      </c>
    </row>
    <row r="38" spans="2:5" x14ac:dyDescent="0.2">
      <c r="B38" s="55" t="s">
        <v>23</v>
      </c>
      <c r="C38" s="83">
        <f>C30/$C$52</f>
        <v>9.3478226171112341E-3</v>
      </c>
      <c r="D38" s="83">
        <f>D30/$D$52</f>
        <v>1.8264559754672928E-2</v>
      </c>
    </row>
    <row r="40" spans="2:5" x14ac:dyDescent="0.2">
      <c r="B40" s="55" t="s">
        <v>193</v>
      </c>
      <c r="C40" s="65"/>
      <c r="D40" s="65"/>
    </row>
    <row r="41" spans="2:5" x14ac:dyDescent="0.2">
      <c r="B41" s="55" t="s">
        <v>39</v>
      </c>
      <c r="C41" s="83">
        <f>C25/$C$48</f>
        <v>4.6847912334182706E-3</v>
      </c>
      <c r="D41" s="83">
        <f>D25/$D$48</f>
        <v>8.5971078898947947E-3</v>
      </c>
    </row>
    <row r="42" spans="2:5" x14ac:dyDescent="0.2">
      <c r="B42" s="55" t="s">
        <v>7</v>
      </c>
      <c r="C42" s="83"/>
      <c r="D42" s="83"/>
    </row>
    <row r="43" spans="2:5" x14ac:dyDescent="0.2">
      <c r="B43" s="55" t="s">
        <v>4</v>
      </c>
      <c r="C43" s="83"/>
      <c r="D43" s="83"/>
    </row>
    <row r="44" spans="2:5" x14ac:dyDescent="0.2">
      <c r="B44" s="55" t="s">
        <v>19</v>
      </c>
      <c r="C44" s="83">
        <f t="shared" ref="C44:C45" si="1">C28/$C$48</f>
        <v>2.3118638531540395E-3</v>
      </c>
      <c r="D44" s="83">
        <f t="shared" ref="D44:D45" si="2">D28/$D$48</f>
        <v>4.9018597617821198E-3</v>
      </c>
    </row>
    <row r="45" spans="2:5" x14ac:dyDescent="0.2">
      <c r="B45" s="55" t="s">
        <v>20</v>
      </c>
      <c r="C45" s="83">
        <f t="shared" si="1"/>
        <v>8.1107407215235447E-4</v>
      </c>
      <c r="D45" s="83">
        <f t="shared" si="2"/>
        <v>1.3574380878781254E-3</v>
      </c>
    </row>
    <row r="46" spans="2:5" x14ac:dyDescent="0.2">
      <c r="B46" s="55" t="s">
        <v>23</v>
      </c>
      <c r="C46" s="83">
        <f>C30/$C$48</f>
        <v>7.807729158724663E-3</v>
      </c>
      <c r="D46" s="83">
        <f>D30/$D$48</f>
        <v>1.485640573955504E-2</v>
      </c>
      <c r="E46" s="131">
        <v>2.75E-2</v>
      </c>
    </row>
    <row r="47" spans="2:5" x14ac:dyDescent="0.2">
      <c r="B47" s="55"/>
      <c r="C47" s="83"/>
      <c r="D47" s="83"/>
    </row>
    <row r="48" spans="2:5" x14ac:dyDescent="0.2">
      <c r="B48" s="46" t="s">
        <v>29</v>
      </c>
      <c r="C48" s="60">
        <v>37325.538999999997</v>
      </c>
      <c r="D48" s="60">
        <v>32914.646999999997</v>
      </c>
      <c r="E48" s="61" t="s">
        <v>32</v>
      </c>
    </row>
    <row r="50" spans="1:5" x14ac:dyDescent="0.2">
      <c r="B50" s="46" t="s">
        <v>26</v>
      </c>
      <c r="C50" s="62">
        <v>27568.156999999999</v>
      </c>
      <c r="D50" s="60">
        <v>24989.285</v>
      </c>
      <c r="E50" s="61" t="s">
        <v>30</v>
      </c>
    </row>
    <row r="51" spans="1:5" x14ac:dyDescent="0.2">
      <c r="B51" s="46" t="s">
        <v>27</v>
      </c>
      <c r="C51" s="62">
        <v>3607.8409999999999</v>
      </c>
      <c r="D51" s="62">
        <v>1783.5119999999999</v>
      </c>
      <c r="E51" s="61" t="s">
        <v>31</v>
      </c>
    </row>
    <row r="52" spans="1:5" x14ac:dyDescent="0.2">
      <c r="B52" s="46" t="s">
        <v>28</v>
      </c>
      <c r="C52" s="62">
        <v>31175.998</v>
      </c>
      <c r="D52" s="62">
        <v>26772.796999999999</v>
      </c>
    </row>
    <row r="53" spans="1:5" x14ac:dyDescent="0.2">
      <c r="B53" s="46" t="s">
        <v>205</v>
      </c>
      <c r="C53" s="136">
        <f>C52/C48</f>
        <v>0.83524575492399455</v>
      </c>
      <c r="D53" s="136">
        <f>D52/D48</f>
        <v>0.81340070273273779</v>
      </c>
    </row>
    <row r="54" spans="1:5" x14ac:dyDescent="0.2">
      <c r="B54" s="46" t="s">
        <v>41</v>
      </c>
      <c r="C54" s="60">
        <f>C52*C10*10^3</f>
        <v>32329509926</v>
      </c>
      <c r="D54" s="60">
        <f>D52*C10*10^3</f>
        <v>27763390489</v>
      </c>
    </row>
    <row r="55" spans="1:5" x14ac:dyDescent="0.2">
      <c r="C55" s="60"/>
      <c r="D55" s="60"/>
    </row>
    <row r="56" spans="1:5" x14ac:dyDescent="0.2">
      <c r="B56" s="46" t="s">
        <v>47</v>
      </c>
      <c r="C56" s="62">
        <f>C22/C54*10^12</f>
        <v>145.26298701093742</v>
      </c>
      <c r="D56" s="62">
        <f>D22/D54*10^12</f>
        <v>283.8270060395576</v>
      </c>
    </row>
    <row r="57" spans="1:5" x14ac:dyDescent="0.2">
      <c r="B57" s="46"/>
      <c r="C57" s="62"/>
      <c r="D57" s="62"/>
    </row>
    <row r="58" spans="1:5" x14ac:dyDescent="0.2">
      <c r="B58" s="46" t="s">
        <v>46</v>
      </c>
      <c r="C58" s="56">
        <f>C56*C8/10^6</f>
        <v>0.99725817239701908</v>
      </c>
      <c r="D58" s="56">
        <f>D56*C8/10^6</f>
        <v>1.9485266491085926</v>
      </c>
    </row>
    <row r="60" spans="1:5" s="39" customFormat="1" x14ac:dyDescent="0.2">
      <c r="A60" s="39" t="s">
        <v>73</v>
      </c>
    </row>
    <row r="61" spans="1:5" x14ac:dyDescent="0.2">
      <c r="B61" s="40" t="s">
        <v>42</v>
      </c>
      <c r="C61" s="41"/>
      <c r="D61" s="146"/>
      <c r="E61" s="146"/>
    </row>
    <row r="62" spans="1:5" x14ac:dyDescent="0.2">
      <c r="B62" s="41"/>
      <c r="C62" s="40" t="s">
        <v>71</v>
      </c>
      <c r="D62" s="144" t="s">
        <v>228</v>
      </c>
      <c r="E62" s="144" t="s">
        <v>225</v>
      </c>
    </row>
    <row r="63" spans="1:5" x14ac:dyDescent="0.2">
      <c r="B63" s="43" t="s">
        <v>49</v>
      </c>
      <c r="C63" s="63">
        <f>IF('NG Parameters'!$E$44="No",D63,E63)</f>
        <v>5311.8716223923793</v>
      </c>
      <c r="D63" s="148">
        <f>SUM(C75:C77)/C82*10^12</f>
        <v>5311.8716223923793</v>
      </c>
      <c r="E63" s="148">
        <f>D63*(1+'NG Parameters'!$E$45/100)</f>
        <v>5843.0587846316175</v>
      </c>
    </row>
    <row r="64" spans="1:5" x14ac:dyDescent="0.2">
      <c r="B64" s="43" t="s">
        <v>50</v>
      </c>
      <c r="C64" s="63">
        <f>IF('NG Parameters'!$E$44="No",D64,E64)</f>
        <v>5.0356542980279757</v>
      </c>
      <c r="D64" s="148">
        <f>D63*Conversions!$B$8</f>
        <v>5.0356542980279757</v>
      </c>
      <c r="E64" s="148">
        <f>D64*(1+'NG Parameters'!$E$45/100)</f>
        <v>5.5392197278307735</v>
      </c>
    </row>
    <row r="65" spans="2:16" x14ac:dyDescent="0.2">
      <c r="B65" s="43" t="s">
        <v>51</v>
      </c>
      <c r="C65" s="63">
        <f>IF('NG Parameters'!$E$44="No",D65,E65)</f>
        <v>36.46701403541811</v>
      </c>
      <c r="D65" s="148">
        <f>D63*C$70/10^6</f>
        <v>36.46701403541811</v>
      </c>
      <c r="E65" s="148">
        <f>D65*(1+'NG Parameters'!$E$45/100)</f>
        <v>40.113715438959922</v>
      </c>
    </row>
    <row r="67" spans="2:16" x14ac:dyDescent="0.2">
      <c r="B67" s="5" t="s">
        <v>243</v>
      </c>
      <c r="C67" s="143">
        <f>'NG Parameters'!E6</f>
        <v>4.3480490514416106</v>
      </c>
      <c r="D67" s="26" t="s">
        <v>216</v>
      </c>
    </row>
    <row r="68" spans="2:16" x14ac:dyDescent="0.2">
      <c r="B68" s="5" t="s">
        <v>244</v>
      </c>
      <c r="C68" s="143">
        <f>'NG Parameters'!E7</f>
        <v>0.77456954894790409</v>
      </c>
      <c r="D68" s="26" t="s">
        <v>216</v>
      </c>
    </row>
    <row r="69" spans="2:16" x14ac:dyDescent="0.2">
      <c r="B69" s="164" t="s">
        <v>373</v>
      </c>
      <c r="C69" s="143">
        <f>'NG Parameters'!E8</f>
        <v>0.38579227203138206</v>
      </c>
      <c r="D69" s="26"/>
    </row>
    <row r="70" spans="2:16" ht="16" x14ac:dyDescent="0.2">
      <c r="B70" s="9" t="s">
        <v>44</v>
      </c>
      <c r="C70" s="104">
        <f>'NG Parameters'!E$42</f>
        <v>6865.1911468812878</v>
      </c>
      <c r="D70" s="5" t="s">
        <v>45</v>
      </c>
    </row>
    <row r="71" spans="2:16" ht="16" x14ac:dyDescent="0.2">
      <c r="B71" s="5" t="s">
        <v>100</v>
      </c>
      <c r="C71" s="103">
        <f>Conversions!B$2</f>
        <v>51505.644797356501</v>
      </c>
      <c r="D71" s="120" t="s">
        <v>101</v>
      </c>
    </row>
    <row r="72" spans="2:16" x14ac:dyDescent="0.2">
      <c r="B72" s="27" t="s">
        <v>24</v>
      </c>
      <c r="C72" s="50">
        <f>'NG Parameters'!E$43</f>
        <v>1037</v>
      </c>
      <c r="D72" s="5" t="s">
        <v>25</v>
      </c>
    </row>
    <row r="73" spans="2:16" ht="16" x14ac:dyDescent="0.2">
      <c r="B73" s="9" t="s">
        <v>126</v>
      </c>
      <c r="C73" s="110">
        <f>Conversions!B$5</f>
        <v>3.6666666666666665</v>
      </c>
      <c r="D73" s="5" t="s">
        <v>116</v>
      </c>
    </row>
    <row r="74" spans="2:16" s="80" customFormat="1" x14ac:dyDescent="0.2">
      <c r="B74" s="20"/>
      <c r="C74" s="106"/>
      <c r="D74" s="19"/>
    </row>
    <row r="75" spans="2:16" x14ac:dyDescent="0.2">
      <c r="B75" s="55" t="s">
        <v>241</v>
      </c>
      <c r="C75" s="62">
        <f>C67*C$81/10^6</f>
        <v>135.55476853164555</v>
      </c>
    </row>
    <row r="76" spans="2:16" x14ac:dyDescent="0.2">
      <c r="B76" s="55" t="s">
        <v>242</v>
      </c>
      <c r="C76" s="62">
        <f t="shared" ref="C76:C77" si="3">C68*C$81/10^6</f>
        <v>24.147978708860759</v>
      </c>
    </row>
    <row r="77" spans="2:16" x14ac:dyDescent="0.2">
      <c r="B77" s="55" t="s">
        <v>374</v>
      </c>
      <c r="C77" s="62">
        <f t="shared" si="3"/>
        <v>12.027459101265823</v>
      </c>
    </row>
    <row r="78" spans="2:16" x14ac:dyDescent="0.2">
      <c r="B78" s="55" t="s">
        <v>157</v>
      </c>
      <c r="C78" s="65">
        <f>C50</f>
        <v>27568.156999999999</v>
      </c>
      <c r="D78" s="2" t="s">
        <v>81</v>
      </c>
    </row>
    <row r="79" spans="2:16" x14ac:dyDescent="0.2">
      <c r="B79" s="55" t="s">
        <v>158</v>
      </c>
      <c r="C79" s="65">
        <f>C51</f>
        <v>3607.8409999999999</v>
      </c>
      <c r="D79" s="2" t="s">
        <v>81</v>
      </c>
      <c r="K79" s="210" t="s">
        <v>275</v>
      </c>
      <c r="O79" s="165" t="s">
        <v>275</v>
      </c>
    </row>
    <row r="80" spans="2:16" x14ac:dyDescent="0.2">
      <c r="B80" s="55" t="s">
        <v>159</v>
      </c>
      <c r="C80" s="65">
        <f>C52</f>
        <v>31175.998</v>
      </c>
      <c r="D80" s="2" t="s">
        <v>81</v>
      </c>
      <c r="J80" s="165" t="s">
        <v>274</v>
      </c>
      <c r="K80" s="166">
        <f>K82/C81</f>
        <v>0.13792661906124062</v>
      </c>
      <c r="L80" s="167"/>
      <c r="N80" s="165" t="s">
        <v>277</v>
      </c>
      <c r="O80" s="166">
        <f>O82/C81</f>
        <v>0.36566592030189377</v>
      </c>
      <c r="P80" s="167"/>
    </row>
    <row r="81" spans="2:24" x14ac:dyDescent="0.2">
      <c r="B81" s="55" t="s">
        <v>159</v>
      </c>
      <c r="C81" s="65">
        <f>C80*10^3</f>
        <v>31175998</v>
      </c>
      <c r="D81" s="2" t="s">
        <v>215</v>
      </c>
    </row>
    <row r="82" spans="2:24" x14ac:dyDescent="0.2">
      <c r="B82" s="46" t="s">
        <v>41</v>
      </c>
      <c r="C82" s="60">
        <f>C80*C72*10^3</f>
        <v>32329509926</v>
      </c>
      <c r="J82" s="55" t="s">
        <v>159</v>
      </c>
      <c r="K82" s="65">
        <v>4300000</v>
      </c>
      <c r="L82" s="2" t="s">
        <v>215</v>
      </c>
      <c r="N82" s="55" t="s">
        <v>159</v>
      </c>
      <c r="O82" s="65">
        <v>11400000</v>
      </c>
      <c r="P82" s="2" t="s">
        <v>215</v>
      </c>
    </row>
    <row r="83" spans="2:24" x14ac:dyDescent="0.2">
      <c r="B83" s="55" t="s">
        <v>256</v>
      </c>
      <c r="C83" s="122">
        <f>D107/C81</f>
        <v>4.3480490514416106</v>
      </c>
      <c r="D83" s="2" t="s">
        <v>245</v>
      </c>
      <c r="J83" s="55" t="s">
        <v>256</v>
      </c>
      <c r="K83" s="122">
        <f>K107/K82</f>
        <v>5.8335002413749963</v>
      </c>
      <c r="L83" s="2" t="s">
        <v>245</v>
      </c>
      <c r="N83" s="55" t="s">
        <v>256</v>
      </c>
      <c r="O83" s="122">
        <f>O107/O82</f>
        <v>2.2965579394367532</v>
      </c>
      <c r="P83" s="2" t="s">
        <v>245</v>
      </c>
      <c r="Q83" s="122"/>
      <c r="U83" s="175">
        <f>U82*35.3147</f>
        <v>0</v>
      </c>
      <c r="V83" s="172" t="s">
        <v>81</v>
      </c>
      <c r="W83" s="172"/>
      <c r="X83" s="80"/>
    </row>
    <row r="84" spans="2:24"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c r="Q84" s="122"/>
      <c r="T84" s="172" t="s">
        <v>291</v>
      </c>
      <c r="U84" s="176">
        <v>0.95</v>
      </c>
      <c r="V84" s="80"/>
      <c r="W84" s="80"/>
      <c r="X84" s="80"/>
    </row>
    <row r="85" spans="2:24" x14ac:dyDescent="0.2">
      <c r="B85" s="55" t="s">
        <v>372</v>
      </c>
      <c r="C85" s="122">
        <f>D109/C81</f>
        <v>0.38579227203138206</v>
      </c>
      <c r="D85" s="2" t="s">
        <v>245</v>
      </c>
      <c r="J85" s="55" t="s">
        <v>372</v>
      </c>
      <c r="K85" s="122">
        <f>K109/K82</f>
        <v>0.32315767441860466</v>
      </c>
      <c r="L85" s="2" t="s">
        <v>245</v>
      </c>
      <c r="N85" s="55"/>
      <c r="O85" s="86">
        <f>O109/O82</f>
        <v>0.10668070175438599</v>
      </c>
      <c r="Q85" s="122"/>
      <c r="T85" s="172"/>
      <c r="U85" s="176"/>
      <c r="V85" s="80"/>
      <c r="W85" s="80"/>
      <c r="X85" s="80"/>
    </row>
    <row r="86" spans="2:24" ht="17" x14ac:dyDescent="0.2">
      <c r="B86" s="55"/>
      <c r="C86" s="122"/>
      <c r="Q86" s="165"/>
      <c r="T86" s="171" t="s">
        <v>292</v>
      </c>
      <c r="U86" s="47">
        <v>84.64</v>
      </c>
      <c r="V86" s="172" t="s">
        <v>293</v>
      </c>
      <c r="W86" s="55"/>
      <c r="X86" s="80"/>
    </row>
    <row r="87" spans="2:24" x14ac:dyDescent="0.2">
      <c r="B87" s="91" t="s">
        <v>78</v>
      </c>
      <c r="T87" s="165" t="s">
        <v>295</v>
      </c>
      <c r="U87" s="65">
        <f>U83*U84*U86*10^3</f>
        <v>0</v>
      </c>
      <c r="V87" s="172" t="s">
        <v>294</v>
      </c>
      <c r="W87" s="55"/>
      <c r="X87" s="80"/>
    </row>
    <row r="88" spans="2:24" x14ac:dyDescent="0.2">
      <c r="B88" s="80"/>
      <c r="C88" s="2" t="s">
        <v>222</v>
      </c>
      <c r="D88" s="2" t="s">
        <v>223</v>
      </c>
      <c r="F88" s="80"/>
      <c r="K88" s="2" t="s">
        <v>222</v>
      </c>
      <c r="L88" s="2" t="s">
        <v>223</v>
      </c>
      <c r="O88" s="2" t="s">
        <v>222</v>
      </c>
      <c r="P88" s="2" t="s">
        <v>223</v>
      </c>
      <c r="T88" s="122"/>
      <c r="U88" s="80"/>
      <c r="V88" s="80"/>
      <c r="W88" s="55"/>
      <c r="X88" s="80"/>
    </row>
    <row r="89" spans="2:24" ht="16" x14ac:dyDescent="0.2">
      <c r="B89" s="55" t="s">
        <v>247</v>
      </c>
      <c r="E89" s="225" t="s">
        <v>382</v>
      </c>
      <c r="F89" s="165" t="s">
        <v>276</v>
      </c>
      <c r="J89" s="55" t="s">
        <v>247</v>
      </c>
      <c r="N89" s="55" t="s">
        <v>247</v>
      </c>
      <c r="T89" s="173" t="s">
        <v>7</v>
      </c>
      <c r="U89" s="65">
        <v>33968</v>
      </c>
      <c r="V89" s="172" t="s">
        <v>81</v>
      </c>
      <c r="W89" s="177" t="s">
        <v>296</v>
      </c>
      <c r="X89" s="80"/>
    </row>
    <row r="90" spans="2:24" x14ac:dyDescent="0.2">
      <c r="B90" s="55" t="s">
        <v>240</v>
      </c>
      <c r="E90" s="3"/>
      <c r="J90" s="55" t="s">
        <v>240</v>
      </c>
      <c r="N90" s="55" t="s">
        <v>240</v>
      </c>
      <c r="U90" s="65">
        <f>U89*10^3</f>
        <v>33968000</v>
      </c>
      <c r="V90" s="172" t="s">
        <v>215</v>
      </c>
      <c r="W90" s="80"/>
      <c r="X90" s="80"/>
    </row>
    <row r="91" spans="2:24" x14ac:dyDescent="0.2">
      <c r="B91" s="55" t="s">
        <v>248</v>
      </c>
      <c r="E91" s="139"/>
      <c r="J91" s="55" t="s">
        <v>248</v>
      </c>
      <c r="N91" s="55" t="s">
        <v>248</v>
      </c>
      <c r="T91" s="80"/>
      <c r="U91" s="80"/>
      <c r="V91" s="80"/>
      <c r="W91" s="80"/>
      <c r="X91" s="80"/>
    </row>
    <row r="92" spans="2:24" x14ac:dyDescent="0.2">
      <c r="B92" s="55" t="s">
        <v>236</v>
      </c>
      <c r="E92" s="139"/>
      <c r="J92" s="55" t="s">
        <v>236</v>
      </c>
      <c r="N92" s="55" t="s">
        <v>236</v>
      </c>
      <c r="T92" s="172" t="s">
        <v>297</v>
      </c>
      <c r="U92" s="80">
        <f>U87/U90</f>
        <v>0</v>
      </c>
      <c r="V92" s="80"/>
      <c r="W92" s="55"/>
      <c r="X92" s="80"/>
    </row>
    <row r="93" spans="2:24"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4">D93*$O$80</f>
        <v>1.4714586408932158</v>
      </c>
      <c r="Q93" s="56"/>
      <c r="R93" s="56"/>
    </row>
    <row r="94" spans="2:24"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4"/>
        <v>0</v>
      </c>
      <c r="Q94" s="56"/>
      <c r="R94" s="56"/>
    </row>
    <row r="95" spans="2:24" x14ac:dyDescent="0.2">
      <c r="B95" s="55" t="s">
        <v>367</v>
      </c>
      <c r="C95" s="140">
        <f>0.03456*E93/(1-F93)</f>
        <v>2.6248101265822783E-2</v>
      </c>
      <c r="D95" s="56"/>
      <c r="E95" s="139"/>
      <c r="J95" s="55" t="s">
        <v>367</v>
      </c>
      <c r="K95" s="56">
        <v>0</v>
      </c>
      <c r="L95" s="56"/>
      <c r="N95" s="55" t="s">
        <v>367</v>
      </c>
      <c r="O95" s="56">
        <v>3.339E-3</v>
      </c>
      <c r="P95" s="56">
        <f t="shared" si="4"/>
        <v>0</v>
      </c>
      <c r="Q95" s="56"/>
      <c r="R95" s="56"/>
    </row>
    <row r="96" spans="2:24" x14ac:dyDescent="0.2">
      <c r="B96" s="55" t="s">
        <v>250</v>
      </c>
      <c r="C96" s="140">
        <v>59.269931999999997</v>
      </c>
      <c r="D96" s="56"/>
      <c r="E96" s="139"/>
      <c r="J96" s="55" t="s">
        <v>250</v>
      </c>
      <c r="K96" s="56">
        <v>11.626189</v>
      </c>
      <c r="L96" s="56">
        <f>D96*$K$80</f>
        <v>0</v>
      </c>
      <c r="N96" s="55" t="s">
        <v>250</v>
      </c>
      <c r="O96" s="56">
        <v>8.3213270000000001</v>
      </c>
      <c r="P96" s="56">
        <f t="shared" si="4"/>
        <v>0</v>
      </c>
      <c r="Q96" s="56"/>
      <c r="R96" s="56"/>
    </row>
    <row r="97" spans="1:18" x14ac:dyDescent="0.2">
      <c r="B97" s="55" t="s">
        <v>235</v>
      </c>
      <c r="C97" s="209">
        <v>3.436995</v>
      </c>
      <c r="D97" s="56"/>
      <c r="E97" s="139"/>
      <c r="J97" s="55" t="s">
        <v>235</v>
      </c>
      <c r="K97" s="56">
        <v>1.438299</v>
      </c>
      <c r="L97" s="56">
        <f>D97*$K$80</f>
        <v>0</v>
      </c>
      <c r="N97" s="55" t="s">
        <v>235</v>
      </c>
      <c r="O97" s="56">
        <v>8.6674000000000001E-2</v>
      </c>
      <c r="P97" s="56">
        <f t="shared" si="4"/>
        <v>0</v>
      </c>
      <c r="Q97" s="56"/>
      <c r="R97" s="56"/>
    </row>
    <row r="98" spans="1:18" x14ac:dyDescent="0.2">
      <c r="B98" s="55" t="s">
        <v>368</v>
      </c>
      <c r="C98" s="140">
        <v>0.60960199999999998</v>
      </c>
      <c r="D98" s="56"/>
      <c r="E98" s="139"/>
      <c r="J98" s="55" t="s">
        <v>368</v>
      </c>
      <c r="K98" s="56">
        <v>0.14707300000000001</v>
      </c>
      <c r="L98" s="56"/>
      <c r="N98" s="55" t="s">
        <v>368</v>
      </c>
      <c r="O98" s="56">
        <v>2.4684999999999999E-2</v>
      </c>
      <c r="P98" s="56">
        <f t="shared" si="4"/>
        <v>0</v>
      </c>
      <c r="Q98" s="56"/>
      <c r="R98" s="56"/>
    </row>
    <row r="99" spans="1:18"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4"/>
        <v>14.284952359825015</v>
      </c>
      <c r="Q99" s="56"/>
      <c r="R99" s="56"/>
    </row>
    <row r="100" spans="1:18" ht="16" x14ac:dyDescent="0.2">
      <c r="B100" s="55" t="s">
        <v>237</v>
      </c>
      <c r="C100" s="140">
        <v>4.1193470000000003</v>
      </c>
      <c r="D100" s="56"/>
      <c r="E100" s="118"/>
      <c r="F100" s="3"/>
      <c r="J100" s="55" t="s">
        <v>237</v>
      </c>
      <c r="K100" s="180">
        <v>1.5641233000000001</v>
      </c>
      <c r="L100" s="56">
        <f>D100*$K$80</f>
        <v>0</v>
      </c>
      <c r="N100" s="55" t="s">
        <v>237</v>
      </c>
      <c r="O100" s="213">
        <v>0.20107700000000001</v>
      </c>
      <c r="P100" s="56"/>
      <c r="Q100" s="56"/>
      <c r="R100" s="56"/>
    </row>
    <row r="101" spans="1:18" x14ac:dyDescent="0.2">
      <c r="B101" s="55" t="s">
        <v>369</v>
      </c>
      <c r="C101" s="140">
        <v>11.391609000000001</v>
      </c>
      <c r="D101" s="56"/>
      <c r="E101" s="118"/>
      <c r="F101" s="3"/>
      <c r="J101" s="55" t="s">
        <v>369</v>
      </c>
      <c r="K101" s="56">
        <v>1.242505</v>
      </c>
      <c r="L101" s="56"/>
      <c r="N101" s="55" t="s">
        <v>369</v>
      </c>
      <c r="O101" s="213">
        <v>1.1881360000000001</v>
      </c>
      <c r="P101" s="56"/>
      <c r="Q101" s="47"/>
    </row>
    <row r="102" spans="1:18" x14ac:dyDescent="0.2">
      <c r="B102" s="55" t="s">
        <v>252</v>
      </c>
      <c r="C102" s="140"/>
      <c r="E102" s="119">
        <f>'NG Parameters'!B47/100</f>
        <v>0.83</v>
      </c>
      <c r="F102" s="64">
        <v>1248.046</v>
      </c>
      <c r="G102" s="2" t="s">
        <v>79</v>
      </c>
      <c r="J102" s="55" t="s">
        <v>252</v>
      </c>
      <c r="K102" s="56">
        <v>3.1604E-2</v>
      </c>
      <c r="L102" s="56">
        <f>D102*$K$80</f>
        <v>0</v>
      </c>
      <c r="N102" s="55" t="s">
        <v>252</v>
      </c>
      <c r="O102" s="213"/>
      <c r="P102" s="56"/>
      <c r="Q102" s="47"/>
    </row>
    <row r="103" spans="1:18" x14ac:dyDescent="0.2">
      <c r="B103" s="55" t="s">
        <v>253</v>
      </c>
      <c r="C103" s="140"/>
      <c r="E103" s="119">
        <f>'NG Parameters'!B49/100</f>
        <v>0.83</v>
      </c>
      <c r="F103" s="64">
        <v>446.19200000000001</v>
      </c>
      <c r="G103" s="2" t="s">
        <v>80</v>
      </c>
      <c r="J103" s="55" t="s">
        <v>253</v>
      </c>
      <c r="K103" s="56">
        <f>C103*$K$80</f>
        <v>0</v>
      </c>
      <c r="L103" s="56">
        <f>D103*$K$80</f>
        <v>0</v>
      </c>
      <c r="N103" s="55" t="s">
        <v>253</v>
      </c>
      <c r="O103" s="56"/>
      <c r="P103" s="56"/>
      <c r="Q103" s="47"/>
    </row>
    <row r="104" spans="1:18"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c r="Q104" s="47"/>
    </row>
    <row r="105" spans="1:18"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c r="Q105" s="65"/>
    </row>
    <row r="106" spans="1:18" x14ac:dyDescent="0.2">
      <c r="B106" s="55" t="s">
        <v>371</v>
      </c>
      <c r="D106" s="47">
        <f>SUM(C95:D95,C98:D98,C101:D101)</f>
        <v>12.027459101265823</v>
      </c>
      <c r="J106" s="55" t="s">
        <v>371</v>
      </c>
      <c r="K106" s="47">
        <f>SUM(K95:L95,K98:L98,K101:L101)</f>
        <v>1.389578</v>
      </c>
      <c r="N106" s="55" t="s">
        <v>371</v>
      </c>
      <c r="O106" s="47">
        <f>SUM(O95:P95,O98:P98,O101:P101)</f>
        <v>1.2161600000000001</v>
      </c>
      <c r="Q106" s="65"/>
    </row>
    <row r="107" spans="1:18" x14ac:dyDescent="0.2">
      <c r="B107" s="55" t="s">
        <v>255</v>
      </c>
      <c r="D107" s="65">
        <f>D104*10^6</f>
        <v>135554768.53164554</v>
      </c>
      <c r="J107" s="55" t="s">
        <v>255</v>
      </c>
      <c r="K107" s="65">
        <f>K104*10^6</f>
        <v>25084051.037912484</v>
      </c>
      <c r="N107" s="55" t="s">
        <v>255</v>
      </c>
      <c r="O107" s="65">
        <f>O104*10^6</f>
        <v>26180760.509578988</v>
      </c>
    </row>
    <row r="108" spans="1:18" x14ac:dyDescent="0.2">
      <c r="B108" s="55" t="s">
        <v>239</v>
      </c>
      <c r="D108" s="65">
        <f t="shared" ref="D108:D109" si="5">D105*10^6</f>
        <v>24147978.708860759</v>
      </c>
      <c r="J108" s="55" t="s">
        <v>239</v>
      </c>
      <c r="K108" s="65">
        <f t="shared" ref="K108:K109" si="6">K105*10^6</f>
        <v>8358764.3253164552</v>
      </c>
      <c r="N108" s="55" t="s">
        <v>239</v>
      </c>
      <c r="O108" s="65">
        <f t="shared" ref="O108:O109" si="7">O105*10^6</f>
        <v>317365.17721518985</v>
      </c>
    </row>
    <row r="109" spans="1:18" x14ac:dyDescent="0.2">
      <c r="B109" s="55" t="s">
        <v>370</v>
      </c>
      <c r="D109" s="65">
        <f t="shared" si="5"/>
        <v>12027459.101265823</v>
      </c>
      <c r="J109" s="55" t="s">
        <v>370</v>
      </c>
      <c r="K109" s="65">
        <f t="shared" si="6"/>
        <v>1389578</v>
      </c>
      <c r="N109" s="55" t="s">
        <v>370</v>
      </c>
      <c r="O109" s="65">
        <f t="shared" si="7"/>
        <v>1216160.0000000002</v>
      </c>
      <c r="P109" s="65"/>
    </row>
    <row r="110" spans="1:18" x14ac:dyDescent="0.2">
      <c r="B110" s="46"/>
      <c r="C110" s="60"/>
    </row>
    <row r="111" spans="1:18" s="39" customFormat="1" x14ac:dyDescent="0.2">
      <c r="A111" s="39" t="s">
        <v>179</v>
      </c>
    </row>
    <row r="112" spans="1:18"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Parameters'!$E$44="No",F114,I114)</f>
        <v>40.219679019585833</v>
      </c>
      <c r="D114" s="44">
        <f>IF('NG Parameters'!$E$44="No",G114,J114)</f>
        <v>1447.90844470509</v>
      </c>
      <c r="E114" s="44">
        <f>IF('NG Parameters'!$E$44="No",H114,K114)</f>
        <v>3499.1120747039677</v>
      </c>
      <c r="F114" s="148">
        <f>(C119+C120)/C122*C123/C121*10^12</f>
        <v>40.219679019585833</v>
      </c>
      <c r="G114" s="148">
        <f>F114*Conversions!$B$7</f>
        <v>1447.90844470509</v>
      </c>
      <c r="H114" s="148">
        <f>F114*Conversions!$B$6</f>
        <v>3499.1120747039677</v>
      </c>
      <c r="I114" s="148">
        <f>F114*(1+'NG Parameters'!$E$45/100)</f>
        <v>44.241646921544422</v>
      </c>
      <c r="J114" s="148">
        <f>G114*(1+'NG Parameters'!$E$45/100)</f>
        <v>1592.6992891755992</v>
      </c>
      <c r="K114" s="148">
        <f>H114*(1+'NG Parameters'!$E$45/100)</f>
        <v>3849.0232821743648</v>
      </c>
    </row>
    <row r="115" spans="2:11" x14ac:dyDescent="0.2">
      <c r="B115" s="43" t="s">
        <v>50</v>
      </c>
      <c r="C115" s="44">
        <f>IF('NG Parameters'!$E$44="No",F115,I115)</f>
        <v>3.8128255710567369E-2</v>
      </c>
      <c r="D115" s="44">
        <f>IF('NG Parameters'!$E$44="No",G115,J115)</f>
        <v>1.3726172055804253</v>
      </c>
      <c r="E115" s="44">
        <f>IF('NG Parameters'!$E$44="No",H115,K115)</f>
        <v>3.317158246819361</v>
      </c>
      <c r="F115" s="148">
        <f>F114*Conversions!$B$8</f>
        <v>3.8128255710567369E-2</v>
      </c>
      <c r="G115" s="148">
        <f>F115*Conversions!$B$7</f>
        <v>1.3726172055804253</v>
      </c>
      <c r="H115" s="148">
        <f>F115*Conversions!$B$6</f>
        <v>3.317158246819361</v>
      </c>
      <c r="I115" s="148">
        <f>F115*(1+'NG Parameters'!$E$45/100)</f>
        <v>4.1941081281624111E-2</v>
      </c>
      <c r="J115" s="148">
        <f>G115*(1+'NG Parameters'!$E$45/100)</f>
        <v>1.509878926138468</v>
      </c>
      <c r="K115" s="148">
        <f>H115*(1+'NG Parameters'!$E$45/100)</f>
        <v>3.6488740715012975</v>
      </c>
    </row>
    <row r="116" spans="2:11" x14ac:dyDescent="0.2">
      <c r="B116" s="43" t="s">
        <v>51</v>
      </c>
      <c r="C116" s="44">
        <f>IF('NG Parameters'!$E$44="No",F116,I116)</f>
        <v>0.27611578433566775</v>
      </c>
      <c r="D116" s="44">
        <f>IF('NG Parameters'!$E$44="No",G116,J116)</f>
        <v>9.9401682360840393</v>
      </c>
      <c r="E116" s="44">
        <f>IF('NG Parameters'!$E$44="No",H116,K116)</f>
        <v>24.022073237203095</v>
      </c>
      <c r="F116" s="148">
        <f>F114*C$118/10^6</f>
        <v>0.27611578433566775</v>
      </c>
      <c r="G116" s="148">
        <f>F116*Conversions!$B$7</f>
        <v>9.9401682360840393</v>
      </c>
      <c r="H116" s="148">
        <f>F116*Conversions!$B$6</f>
        <v>24.022073237203095</v>
      </c>
      <c r="I116" s="148">
        <f>F116*(1+'NG Parameters'!$E$45/100)</f>
        <v>0.30372736276923457</v>
      </c>
      <c r="J116" s="148">
        <f>G116*(1+'NG Parameters'!$E$45/100)</f>
        <v>10.934185059692444</v>
      </c>
      <c r="K116" s="148">
        <f>H116*(1+'NG Parameters'!$E$45/100)</f>
        <v>26.424280560923407</v>
      </c>
    </row>
    <row r="117" spans="2:11" x14ac:dyDescent="0.2">
      <c r="B117" s="46"/>
      <c r="C117" s="47"/>
    </row>
    <row r="118" spans="2:11" ht="16" x14ac:dyDescent="0.2">
      <c r="B118" s="9" t="s">
        <v>44</v>
      </c>
      <c r="C118" s="104">
        <f>'NG Parameters'!E$42</f>
        <v>6865.1911468812878</v>
      </c>
      <c r="D118" s="5" t="s">
        <v>45</v>
      </c>
    </row>
    <row r="119" spans="2:11" x14ac:dyDescent="0.2">
      <c r="B119" s="48" t="s">
        <v>200</v>
      </c>
      <c r="C119" s="196">
        <f>'NG Parameters'!E12/100</f>
        <v>1.4572499999999996E-3</v>
      </c>
    </row>
    <row r="120" spans="2:11" x14ac:dyDescent="0.2">
      <c r="B120" s="48" t="s">
        <v>201</v>
      </c>
      <c r="C120" s="196">
        <f>'NG Parameters'!E15/100</f>
        <v>8.0399999999999981E-4</v>
      </c>
    </row>
    <row r="121" spans="2:11" x14ac:dyDescent="0.2">
      <c r="B121" s="27" t="s">
        <v>24</v>
      </c>
      <c r="C121" s="50">
        <f>'NG Parameters'!E43</f>
        <v>1037</v>
      </c>
      <c r="D121" s="5" t="s">
        <v>25</v>
      </c>
    </row>
    <row r="122" spans="2:11" ht="16" x14ac:dyDescent="0.2">
      <c r="B122" s="5" t="s">
        <v>100</v>
      </c>
      <c r="C122" s="103">
        <f>Conversions!B$2</f>
        <v>51505.644797356501</v>
      </c>
      <c r="D122" s="120" t="s">
        <v>101</v>
      </c>
    </row>
    <row r="123" spans="2:11" x14ac:dyDescent="0.2">
      <c r="B123" s="27" t="s">
        <v>36</v>
      </c>
      <c r="C123" s="51">
        <f>'NG Parameters'!E50/100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Parameters'!$E$10</f>
        <v>725</v>
      </c>
      <c r="D135" s="108">
        <f>'NG Parameters'!$E$10</f>
        <v>725</v>
      </c>
      <c r="E135" s="170" t="s">
        <v>321</v>
      </c>
    </row>
    <row r="136" spans="2:6" x14ac:dyDescent="0.2">
      <c r="B136" s="172" t="s">
        <v>338</v>
      </c>
      <c r="C136" s="83">
        <f>C134*C135</f>
        <v>1.8140325293806243E-3</v>
      </c>
      <c r="D136" s="83">
        <f>D134*D135</f>
        <v>2.6176271257107777E-3</v>
      </c>
    </row>
    <row r="137" spans="2:6" x14ac:dyDescent="0.2">
      <c r="B137" s="80" t="s">
        <v>22</v>
      </c>
      <c r="C137" s="122">
        <f>C136*C144/$C122*10^3*$C123</f>
        <v>1.0431198559670785</v>
      </c>
      <c r="D137" s="122">
        <f>D136*D144/$C122*10^3*$C123</f>
        <v>1.292618312757202</v>
      </c>
    </row>
    <row r="138" spans="2:6" x14ac:dyDescent="0.2">
      <c r="B138" s="80"/>
      <c r="C138" s="87"/>
    </row>
    <row r="139" spans="2:6" x14ac:dyDescent="0.2">
      <c r="B139" s="80" t="s">
        <v>194</v>
      </c>
      <c r="C139" s="83">
        <f>C131/C133*C135</f>
        <v>1.5151629694592028E-3</v>
      </c>
      <c r="D139" s="83">
        <f>D131/D133*D135</f>
        <v>1.8775669832483365E-3</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32.265254201338259</v>
      </c>
      <c r="D147" s="62">
        <f>D137/D145*10^12</f>
        <v>46.558373814946847</v>
      </c>
    </row>
    <row r="148" spans="1:11" x14ac:dyDescent="0.2">
      <c r="B148" s="46" t="s">
        <v>46</v>
      </c>
      <c r="C148" s="56">
        <f>C147*C118/10^6</f>
        <v>0.2215071374949017</v>
      </c>
      <c r="D148" s="56">
        <f>D147*C118/10^6</f>
        <v>0.31963213572756266</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Parameters'!$E$44="No",F153,I153)</f>
        <v>122.68416537511776</v>
      </c>
      <c r="D153" s="68">
        <f>IF('NG Parameters'!$E$44="No",G153,J153)</f>
        <v>4416.629953504239</v>
      </c>
      <c r="E153" s="68">
        <f>IF('NG Parameters'!$E$44="No",H153,K153)</f>
        <v>10673.522387635245</v>
      </c>
      <c r="F153" s="148">
        <f>F155/'NG Parameters'!$E$42*10^6</f>
        <v>122.68416537511776</v>
      </c>
      <c r="G153" s="148">
        <f>F153*Conversions!$B$7</f>
        <v>4416.629953504239</v>
      </c>
      <c r="H153" s="148">
        <f>F153*Conversions!$B$6</f>
        <v>10673.522387635245</v>
      </c>
      <c r="I153" s="148">
        <f>F153*(1+'NG Parameters'!$E$45/100)</f>
        <v>134.95258191262954</v>
      </c>
      <c r="J153" s="148">
        <f>G153*(1+'NG Parameters'!$E$45/100)</f>
        <v>4858.2929488546633</v>
      </c>
      <c r="K153" s="148">
        <f>H153*(1+'NG Parameters'!$E$45/100)</f>
        <v>11740.87462639877</v>
      </c>
    </row>
    <row r="154" spans="1:11" x14ac:dyDescent="0.2">
      <c r="B154" s="43" t="s">
        <v>50</v>
      </c>
      <c r="C154" s="68">
        <f>IF('NG Parameters'!$E$44="No",F154,I154)</f>
        <v>0.11630458877561163</v>
      </c>
      <c r="D154" s="68">
        <f>IF('NG Parameters'!$E$44="No",G154,J154)</f>
        <v>4.1869651959220189</v>
      </c>
      <c r="E154" s="68">
        <f>IF('NG Parameters'!$E$44="No",H154,K154)</f>
        <v>10.118499223478212</v>
      </c>
      <c r="F154" s="148">
        <f>F153*Conversions!$B$8</f>
        <v>0.11630458877561163</v>
      </c>
      <c r="G154" s="148">
        <f>F154*Conversions!$B$7</f>
        <v>4.1869651959220189</v>
      </c>
      <c r="H154" s="148">
        <f>F154*Conversions!$B$6</f>
        <v>10.118499223478212</v>
      </c>
      <c r="I154" s="148">
        <f>F154*(1+'NG Parameters'!$E$45/100)</f>
        <v>0.12793504765317282</v>
      </c>
      <c r="J154" s="148">
        <f>G154*(1+'NG Parameters'!$E$45/100)</f>
        <v>4.6056617155142208</v>
      </c>
      <c r="K154" s="148">
        <f>H154*(1+'NG Parameters'!$E$45/100)</f>
        <v>11.130349145826035</v>
      </c>
    </row>
    <row r="155" spans="1:11" x14ac:dyDescent="0.2">
      <c r="B155" s="43" t="s">
        <v>51</v>
      </c>
      <c r="C155" s="68">
        <f>IF('NG Parameters'!$E$44="No",F155,I155)</f>
        <v>0.84225024599577814</v>
      </c>
      <c r="D155" s="68">
        <f>IF('NG Parameters'!$E$44="No",G155,J155)</f>
        <v>30.321008855848014</v>
      </c>
      <c r="E155" s="68">
        <f>IF('NG Parameters'!$E$44="No",H155,K155)</f>
        <v>73.275771401632696</v>
      </c>
      <c r="F155" s="148">
        <f>SUM(E166:E180,E186:E188,E193:E194)</f>
        <v>0.84225024599577814</v>
      </c>
      <c r="G155" s="148">
        <f>F155*Conversions!$B$7</f>
        <v>30.321008855848014</v>
      </c>
      <c r="H155" s="148">
        <f>F155*Conversions!$B$6</f>
        <v>73.275771401632696</v>
      </c>
      <c r="I155" s="148">
        <f>F155*(1+'NG Parameters'!$E$45/100)</f>
        <v>0.92647527059535606</v>
      </c>
      <c r="J155" s="148">
        <f>G155*(1+'NG Parameters'!$E$45/100)</f>
        <v>33.353109741432817</v>
      </c>
      <c r="K155" s="148">
        <f>H155*(1+'NG Parameters'!$E$45/100)</f>
        <v>80.603348541795967</v>
      </c>
    </row>
    <row r="156" spans="1:11" x14ac:dyDescent="0.2">
      <c r="B156" s="46"/>
      <c r="C156" s="69"/>
    </row>
    <row r="157" spans="1:11" x14ac:dyDescent="0.2">
      <c r="B157" s="5" t="s">
        <v>24</v>
      </c>
      <c r="C157" s="17">
        <f>'NG Parameters'!E$43</f>
        <v>1037</v>
      </c>
      <c r="D157" s="4" t="s">
        <v>102</v>
      </c>
    </row>
    <row r="158" spans="1:11" ht="16" x14ac:dyDescent="0.2">
      <c r="B158" s="5" t="s">
        <v>100</v>
      </c>
      <c r="C158" s="103">
        <f>Conversions!B$2</f>
        <v>51505.644797356501</v>
      </c>
      <c r="D158" s="21" t="s">
        <v>101</v>
      </c>
    </row>
    <row r="159" spans="1:11" ht="16" x14ac:dyDescent="0.2">
      <c r="B159" s="9" t="s">
        <v>44</v>
      </c>
      <c r="C159" s="104">
        <f>'NG Parameters'!E$42</f>
        <v>6865.1911468812878</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198">
        <f>'NG Parameters'!E21/100</f>
        <v>8.9999999999999998E-4</v>
      </c>
      <c r="E166" s="56">
        <f>C166*10^6/C$158*10^3/(C$157*10^6)*C$159*1000</f>
        <v>0.11568087324877417</v>
      </c>
      <c r="F166" s="59">
        <f>E166/'NG Parameters'!$E$42*10^6*0.000948</f>
        <v>1.5974131745720821E-2</v>
      </c>
      <c r="G166" s="87">
        <f>F166*Conversions!$B$7</f>
        <v>0.57506874284594955</v>
      </c>
    </row>
    <row r="167" spans="2:7" x14ac:dyDescent="0.2">
      <c r="B167" s="73" t="s">
        <v>95</v>
      </c>
      <c r="D167" s="56"/>
      <c r="E167" s="47">
        <f>(C174)/C$158*C175/(C$157/10^6)*C$159</f>
        <v>0.29267777574085924</v>
      </c>
      <c r="F167" s="59">
        <f>E167/'NG Parameters'!$E$42*10^6*0.000948</f>
        <v>4.0415266737092698E-2</v>
      </c>
      <c r="G167" s="87">
        <f>F167*Conversions!$B$7</f>
        <v>1.4549496025353372</v>
      </c>
    </row>
    <row r="168" spans="2:7" x14ac:dyDescent="0.2">
      <c r="B168" s="26" t="s">
        <v>13</v>
      </c>
      <c r="C168" s="74">
        <f>'NG Parameters'!E31/100</f>
        <v>1.5E-3</v>
      </c>
      <c r="D168" s="56"/>
      <c r="G168" s="59"/>
    </row>
    <row r="169" spans="2:7" x14ac:dyDescent="0.2">
      <c r="B169" s="26" t="s">
        <v>12</v>
      </c>
      <c r="C169" s="17">
        <f>'NG Parameters'!E27</f>
        <v>821</v>
      </c>
      <c r="D169" s="4" t="s">
        <v>105</v>
      </c>
      <c r="G169" s="59"/>
    </row>
    <row r="170" spans="2:7" x14ac:dyDescent="0.2">
      <c r="B170" s="26" t="s">
        <v>171</v>
      </c>
      <c r="C170" s="17">
        <f>'NG Parameters'!E28/2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Parameters'!E30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Parameters'!E26/100</f>
        <v>0.1</v>
      </c>
      <c r="G175" s="59"/>
    </row>
    <row r="176" spans="2:7" x14ac:dyDescent="0.2">
      <c r="B176" s="48"/>
      <c r="E176" s="3" t="s">
        <v>103</v>
      </c>
      <c r="F176" s="3" t="s">
        <v>195</v>
      </c>
      <c r="G176" s="2" t="s">
        <v>197</v>
      </c>
    </row>
    <row r="177" spans="1:7" x14ac:dyDescent="0.2">
      <c r="A177" s="2" t="s">
        <v>91</v>
      </c>
      <c r="B177" s="73" t="s">
        <v>96</v>
      </c>
      <c r="C177" s="159">
        <f>'NG Parameters'!E34/100</f>
        <v>8.9999999999999998E-4</v>
      </c>
      <c r="E177" s="56">
        <f>C177*10^6/C$158*10^3/(C$157*10^6)*C$159*1000</f>
        <v>0.11568087324877417</v>
      </c>
      <c r="F177" s="59">
        <f>E177/'NG Parameters'!$E$42*10^6*0.000948</f>
        <v>1.5974131745720821E-2</v>
      </c>
      <c r="G177" s="87">
        <f>F177*Conversions!$B$7</f>
        <v>0.57506874284594955</v>
      </c>
    </row>
    <row r="178" spans="1:7" x14ac:dyDescent="0.2">
      <c r="B178" s="76" t="s">
        <v>97</v>
      </c>
      <c r="C178" s="159">
        <f>'NG Parameters'!E39/100</f>
        <v>2.9999999999999997E-4</v>
      </c>
      <c r="E178" s="56">
        <f>C178*10^6/C$158*10^3/(C$157*10^6)*C$159*1000</f>
        <v>3.8560291082924712E-2</v>
      </c>
      <c r="F178" s="59">
        <f>E178/'NG Parameters'!$E$42*10^6*0.000948</f>
        <v>5.3247105819069383E-3</v>
      </c>
      <c r="G178" s="87">
        <f>F178*Conversions!$B$7</f>
        <v>0.19168958094864977</v>
      </c>
    </row>
    <row r="179" spans="1:7" x14ac:dyDescent="0.2">
      <c r="B179" s="76" t="s">
        <v>98</v>
      </c>
      <c r="C179" s="159">
        <f>'NG Parameters'!E40/100</f>
        <v>2.9999999999999997E-4</v>
      </c>
      <c r="E179" s="56">
        <f>C179*10^6/C$158*10^3/(C$157*10^6)*C$159*1000</f>
        <v>3.8560291082924712E-2</v>
      </c>
      <c r="F179" s="59">
        <f>E179/'NG Parameters'!$E$42*10^6*0.000948</f>
        <v>5.3247105819069383E-3</v>
      </c>
      <c r="G179" s="87">
        <f>F179*Conversions!$B$7</f>
        <v>0.19168958094864977</v>
      </c>
    </row>
    <row r="180" spans="1:7" x14ac:dyDescent="0.2">
      <c r="B180" s="76" t="s">
        <v>99</v>
      </c>
      <c r="C180" s="159">
        <f>'NG Parameters'!E41/100</f>
        <v>2.9999999999999997E-4</v>
      </c>
      <c r="E180" s="56">
        <f>C180*10^6/C$158*10^3/(C$157*10^6)*C$159*1000</f>
        <v>3.8560291082924712E-2</v>
      </c>
      <c r="F180" s="59">
        <f>E180/'NG Parameters'!$E$42*10^6*0.000948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2" t="s">
        <v>197</v>
      </c>
    </row>
    <row r="186" spans="1:7" s="80" customFormat="1" x14ac:dyDescent="0.2">
      <c r="B186" s="73" t="s">
        <v>94</v>
      </c>
      <c r="C186" s="205">
        <f>'NG Parameters'!E24/100</f>
        <v>9.300000000000001E-3</v>
      </c>
      <c r="D186" s="58">
        <f>'NG Parameters'!E22/100</f>
        <v>0.1</v>
      </c>
      <c r="E186" s="84">
        <f>D186*C186*10^6/C$158/C$157*C$159</f>
        <v>0.11953690235706665</v>
      </c>
      <c r="F186" s="206">
        <f>E186/'NG Parameters'!$E$42*10^6*0.000948</f>
        <v>1.6506602803911516E-2</v>
      </c>
      <c r="G186" s="87">
        <f>F186*Conversions!$B$7</f>
        <v>0.59423770094081463</v>
      </c>
    </row>
    <row r="187" spans="1:7" s="80" customFormat="1" x14ac:dyDescent="0.2">
      <c r="B187" s="85" t="s">
        <v>95</v>
      </c>
      <c r="C187" s="205">
        <f>'NG Parameters'!E32/100</f>
        <v>1.7000000000000001E-2</v>
      </c>
      <c r="D187" s="83"/>
      <c r="E187" s="86">
        <f>C187/C157*10^6/C$158*C$174*(1-C$175)*C$159</f>
        <v>4.4779699688351465E-2</v>
      </c>
      <c r="F187" s="206">
        <f>E187/'NG Parameters'!$E$42*10^6*0.000948</f>
        <v>6.1835358107751827E-3</v>
      </c>
      <c r="G187" s="87">
        <f>F187*Conversions!$B$7</f>
        <v>0.22260728918790657</v>
      </c>
    </row>
    <row r="188" spans="1:7" x14ac:dyDescent="0.2">
      <c r="B188" s="73" t="s">
        <v>96</v>
      </c>
      <c r="C188" s="205">
        <f>'NG Parameters'!E37/100</f>
        <v>9.300000000000001E-3</v>
      </c>
      <c r="D188" s="202">
        <f>'NG Parameters'!E35/100</f>
        <v>1.1000000000000001E-2</v>
      </c>
      <c r="E188" s="84">
        <f>D188*C188*10^6/C$158/C$157*C$159</f>
        <v>1.3149059259277332E-2</v>
      </c>
      <c r="F188" s="206">
        <f>E188/'NG Parameters'!$E$42*10^6*0.000948</f>
        <v>1.8157263084302667E-3</v>
      </c>
      <c r="G188" s="87">
        <f>F188*Conversions!$B$7</f>
        <v>6.5366147103489605E-2</v>
      </c>
    </row>
    <row r="189" spans="1:7" x14ac:dyDescent="0.2">
      <c r="B189" s="73"/>
      <c r="C189" s="199"/>
      <c r="D189" s="200"/>
      <c r="E189" s="84"/>
      <c r="F189" s="59"/>
      <c r="G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Parameters'!E25/100</f>
        <v>0.05</v>
      </c>
      <c r="D193" s="204">
        <f>'NG Parameters'!$E$23/100</f>
        <v>3.0000000000000001E-3</v>
      </c>
      <c r="E193" s="84">
        <f>D193*C193*10^6/C$158/C$157*C$159</f>
        <v>1.928014554146236E-2</v>
      </c>
      <c r="F193" s="207">
        <f>E193/'NG Parameters'!$E$42*10^6*0.000948</f>
        <v>2.6623552909534696E-3</v>
      </c>
      <c r="G193" s="208">
        <f>F193*Conversions!$B$7</f>
        <v>9.5844790474324898E-2</v>
      </c>
    </row>
    <row r="194" spans="1:7" x14ac:dyDescent="0.2">
      <c r="B194" s="73" t="s">
        <v>96</v>
      </c>
      <c r="C194" s="203">
        <f>'NG Parameters'!E38/100</f>
        <v>0.05</v>
      </c>
      <c r="D194" s="204">
        <f>'NG Parameters'!$E$36/100</f>
        <v>8.9999999999999998E-4</v>
      </c>
      <c r="E194" s="84">
        <f>D194*C194*10^6/C$158/C$157*C$159</f>
        <v>5.7840436624387081E-3</v>
      </c>
      <c r="F194" s="207">
        <f>E194/'NG Parameters'!$E$42*10^6*0.000948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Parameters'!$E$44="No",D199,E199)</f>
        <v>1323.1590788975811</v>
      </c>
      <c r="D199" s="148">
        <f>C215/C220*10^12</f>
        <v>1323.1590788975811</v>
      </c>
      <c r="E199" s="148">
        <f>D199*(1+'NG Parameters'!$E$45/100)</f>
        <v>1455.4749867873393</v>
      </c>
    </row>
    <row r="200" spans="1:7" x14ac:dyDescent="0.2">
      <c r="B200" s="43" t="s">
        <v>50</v>
      </c>
      <c r="C200" s="63">
        <f>IF('NG Parameters'!$E$44="No",D200,E200)</f>
        <v>1.2543548067949069</v>
      </c>
      <c r="D200" s="148">
        <f>D199*Conversions!$B$8</f>
        <v>1.2543548067949069</v>
      </c>
      <c r="E200" s="148">
        <f>D200*(1+'NG Parameters'!$E$45/100)</f>
        <v>1.3797902874743977</v>
      </c>
    </row>
    <row r="201" spans="1:7" x14ac:dyDescent="0.2">
      <c r="A201" s="2" t="s">
        <v>91</v>
      </c>
      <c r="B201" s="43" t="s">
        <v>51</v>
      </c>
      <c r="C201" s="63">
        <f>IF('NG Parameters'!$E$44="No",D201,E201)</f>
        <v>9.0837399943632722</v>
      </c>
      <c r="D201" s="148">
        <f>D199*C$203/10^6</f>
        <v>9.0837399943632722</v>
      </c>
      <c r="E201" s="148">
        <f>D201*(1+'NG Parameters'!$E$45/100)</f>
        <v>9.9921139937996006</v>
      </c>
    </row>
    <row r="203" spans="1:7" ht="16" x14ac:dyDescent="0.2">
      <c r="B203" s="9" t="s">
        <v>44</v>
      </c>
      <c r="C203" s="104">
        <f>'NG Parameters'!E$42</f>
        <v>6865.1911468812878</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Parameters'!$E50/100*44/16</f>
        <v>44.459823855473147</v>
      </c>
      <c r="E206" s="141"/>
    </row>
    <row r="207" spans="1:7" x14ac:dyDescent="0.2">
      <c r="B207" s="80" t="s">
        <v>23</v>
      </c>
      <c r="D207" s="87">
        <f>SUM(C205:D206)</f>
        <v>44.950622926269482</v>
      </c>
      <c r="E207" s="56"/>
      <c r="F207" s="87"/>
    </row>
    <row r="208" spans="1:7" x14ac:dyDescent="0.2">
      <c r="B208" s="80"/>
      <c r="C208" s="87"/>
      <c r="D208" s="2"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Parameters'!E19</f>
        <v>4.6245496837725802E-2</v>
      </c>
      <c r="D213" s="165" t="s">
        <v>342</v>
      </c>
    </row>
    <row r="214" spans="1:6" x14ac:dyDescent="0.2">
      <c r="B214" s="164" t="s">
        <v>344</v>
      </c>
      <c r="C214" s="17">
        <f>'NG Parameters'!E10+'NG Parameters'!E13</f>
        <v>925</v>
      </c>
      <c r="D214" s="170" t="s">
        <v>321</v>
      </c>
    </row>
    <row r="215" spans="1:6" x14ac:dyDescent="0.2">
      <c r="B215" s="172" t="s">
        <v>345</v>
      </c>
      <c r="C215" s="87">
        <f>C213*C$214</f>
        <v>42.777084574896364</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Parameters'!$E$44="No",D225,E225)</f>
        <v>7504.3867861161152</v>
      </c>
      <c r="D225" s="148">
        <f>D227/'NG Parameters'!$E$42*10^6</f>
        <v>7504.3867861161152</v>
      </c>
      <c r="E225" s="148">
        <f>D225*(1+'NG Parameters'!$E$45/100)</f>
        <v>8254.8254647277281</v>
      </c>
    </row>
    <row r="226" spans="2:6" x14ac:dyDescent="0.2">
      <c r="B226" s="43" t="s">
        <v>50</v>
      </c>
      <c r="C226" s="68">
        <f>IF('NG Parameters'!$E$44="No",D226,E226)</f>
        <v>7.1141586732380766</v>
      </c>
      <c r="D226" s="148">
        <f>D225*Conversions!$B$8</f>
        <v>7.1141586732380766</v>
      </c>
      <c r="E226" s="148">
        <f>D226*(1+'NG Parameters'!$E$45/100)</f>
        <v>7.8255745405618846</v>
      </c>
    </row>
    <row r="227" spans="2:6" x14ac:dyDescent="0.2">
      <c r="B227" s="43" t="s">
        <v>51</v>
      </c>
      <c r="C227" s="68">
        <f>IF('NG Parameters'!$E$44="No",D227,E227)</f>
        <v>51.519049726817272</v>
      </c>
      <c r="D227" s="148">
        <f>SUM(E249:E250)+SUM(E236:E245)</f>
        <v>51.519049726817272</v>
      </c>
      <c r="E227" s="148">
        <f>D227*(1+'NG Parameters'!$E$45/100)</f>
        <v>56.670954699499006</v>
      </c>
    </row>
    <row r="228" spans="2:6" x14ac:dyDescent="0.2">
      <c r="B228" s="46"/>
      <c r="C228" s="69"/>
    </row>
    <row r="229" spans="2:6" ht="16" x14ac:dyDescent="0.2">
      <c r="B229" s="9" t="s">
        <v>44</v>
      </c>
      <c r="C229" s="104">
        <f>'NG Parameters'!E$42</f>
        <v>6865.1911468812878</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Parameters'!E22/100</f>
        <v>0.1</v>
      </c>
      <c r="E236" s="93">
        <f>C236*C$230/10^3*C$231*C$229</f>
        <v>36.323726358148889</v>
      </c>
      <c r="F236" s="133">
        <f>E236/'NG Parameters'!$E$42*10^6*0.000948</f>
        <v>5.0158679999999993</v>
      </c>
    </row>
    <row r="237" spans="2:6" s="66" customFormat="1" x14ac:dyDescent="0.2">
      <c r="B237" s="73" t="s">
        <v>95</v>
      </c>
      <c r="C237" s="92"/>
      <c r="E237" s="93">
        <f>C$241*C$243/(C$242*C$238/10^6*C$239*C$240*10^3)*C$229</f>
        <v>9.7830881413041997</v>
      </c>
      <c r="F237" s="133">
        <f>E237/'NG Parameters'!$E$42*10^6*0.000948</f>
        <v>1.3509263412380779</v>
      </c>
    </row>
    <row r="238" spans="2:6" s="66" customFormat="1" x14ac:dyDescent="0.2">
      <c r="B238" s="113" t="s">
        <v>24</v>
      </c>
      <c r="C238" s="17">
        <f>'NG Parameters'!E$43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Parameters'!E28</f>
        <v>20000</v>
      </c>
      <c r="D241" s="26" t="s">
        <v>64</v>
      </c>
      <c r="E241" s="2" t="s">
        <v>173</v>
      </c>
    </row>
    <row r="242" spans="1:6" s="66" customFormat="1" x14ac:dyDescent="0.2">
      <c r="B242" s="113" t="s">
        <v>121</v>
      </c>
      <c r="C242" s="17">
        <f>'NG Parameters'!E29</f>
        <v>260000</v>
      </c>
      <c r="D242" s="26" t="s">
        <v>122</v>
      </c>
      <c r="E242" s="93"/>
    </row>
    <row r="243" spans="1:6" s="66" customFormat="1" x14ac:dyDescent="0.2">
      <c r="B243" s="113" t="s">
        <v>85</v>
      </c>
      <c r="C243" s="17">
        <f>'NG Parameters'!E33</f>
        <v>407</v>
      </c>
      <c r="D243" s="26" t="s">
        <v>123</v>
      </c>
      <c r="E243" s="93"/>
    </row>
    <row r="244" spans="1:6" s="66" customFormat="1" x14ac:dyDescent="0.2">
      <c r="B244" s="73" t="s">
        <v>96</v>
      </c>
      <c r="C244" s="92">
        <f>'NG Parameters'!E35/100</f>
        <v>1.1000000000000001E-2</v>
      </c>
      <c r="E244" s="93">
        <f>C244*C$230/10^3*C$231*C$229</f>
        <v>3.9956098993963791</v>
      </c>
      <c r="F244" s="133">
        <f>E244/'NG Parameters'!$E$42*10^6*0.000948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82">
        <f>'NG Parameters'!$E$23/100</f>
        <v>3.0000000000000001E-3</v>
      </c>
      <c r="E249" s="93">
        <f>C249*C$230/10^3*C$231*C$229</f>
        <v>1.0897117907444667</v>
      </c>
      <c r="F249" s="87">
        <f>E249/'NG Parameters'!$E$42*10^6*0.000948</f>
        <v>0.15047603999999998</v>
      </c>
    </row>
    <row r="250" spans="1:6" s="80" customFormat="1" x14ac:dyDescent="0.2">
      <c r="B250" s="81" t="s">
        <v>96</v>
      </c>
      <c r="C250" s="82">
        <f>'NG Parameters'!$E$36/100</f>
        <v>8.9999999999999998E-4</v>
      </c>
      <c r="E250" s="93">
        <f>C250*C$230/10^3*C$231*C$229</f>
        <v>0.32691353722333999</v>
      </c>
      <c r="F250" s="87">
        <f>E250/'NG Parameters'!$E$42*10^6*0.000948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Parameters'!$E$44="No",D254,E254)</f>
        <v>52910</v>
      </c>
      <c r="D254" s="145">
        <f>C256/C$258*10^6</f>
        <v>52910</v>
      </c>
      <c r="E254" s="145">
        <f>D254*(1-'NG Parameters'!$E$46/100)*(1+'NG Parameters'!$E$45/100)</f>
        <v>5820.0999999999995</v>
      </c>
    </row>
    <row r="255" spans="1:6" x14ac:dyDescent="0.2">
      <c r="B255" s="43" t="s">
        <v>50</v>
      </c>
      <c r="C255" s="63">
        <f>IF('NG Parameters'!$E$44="No",D255,E255)</f>
        <v>50.158679999999997</v>
      </c>
      <c r="D255" s="145">
        <f>C254*Conversions!$B$8</f>
        <v>50.158679999999997</v>
      </c>
      <c r="E255" s="145">
        <f>D255*(1-'NG Parameters'!$E$46/100)*(1+'NG Parameters'!$E$45/100)</f>
        <v>5.5174547999999985</v>
      </c>
    </row>
    <row r="256" spans="1:6" x14ac:dyDescent="0.2">
      <c r="B256" s="43" t="s">
        <v>51</v>
      </c>
      <c r="C256" s="63">
        <f>IF('NG Parameters'!$E$44="No",D256,E256)</f>
        <v>363.23726358148895</v>
      </c>
      <c r="D256" s="145">
        <f>C258*C261/10^3</f>
        <v>363.23726358148895</v>
      </c>
      <c r="E256" s="145">
        <f>D256*(1-'NG Parameters'!$E$46/100)*(1+'NG Parameters'!$E$45/100)</f>
        <v>39.956098993963778</v>
      </c>
    </row>
    <row r="258" spans="1:5" x14ac:dyDescent="0.2">
      <c r="B258" s="2" t="s">
        <v>44</v>
      </c>
      <c r="C258" s="57">
        <f>'NG Parameters'!E$42</f>
        <v>6865.1911468812878</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051B32B2-C021-E145-BC97-A06505542440}"/>
    <hyperlink ref="E51" r:id="rId2" xr:uid="{FD6D14E7-6DD0-B74B-B885-ABF97922AA32}"/>
    <hyperlink ref="E50" r:id="rId3" xr:uid="{7B808930-AF5C-7245-B781-D6E46E72AC36}"/>
    <hyperlink ref="F140" r:id="rId4" xr:uid="{32945210-E887-504B-B0D2-BEB44B7CAA02}"/>
    <hyperlink ref="F143" r:id="rId5" xr:uid="{43F8A859-46EB-D94B-A668-323E3BAC80EB}"/>
    <hyperlink ref="F142" r:id="rId6" xr:uid="{2B5302E6-3202-2841-AAA5-6ACA7661596F}"/>
    <hyperlink ref="W89" r:id="rId7" xr:uid="{288574FB-BB2A-DE40-9892-FF4566B0A7FB}"/>
  </hyperlink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E7A5-5197-2C4C-A605-758C05A2A371}">
  <sheetPr codeName="Sheet20"/>
  <dimension ref="A1:U262"/>
  <sheetViews>
    <sheetView topLeftCell="A233" zoomScale="90" workbookViewId="0">
      <selection activeCell="E266" sqref="E266"/>
    </sheetView>
  </sheetViews>
  <sheetFormatPr baseColWidth="10" defaultColWidth="31.83203125" defaultRowHeight="15" x14ac:dyDescent="0.2"/>
  <cols>
    <col min="1" max="1" width="21.5" style="2" customWidth="1"/>
    <col min="2" max="2" width="41.5" style="2" bestFit="1" customWidth="1"/>
    <col min="3" max="3" width="33.6640625" style="2" customWidth="1"/>
    <col min="4" max="4" width="24.6640625" style="2" customWidth="1"/>
    <col min="5" max="5" width="31.83203125" style="2"/>
    <col min="6" max="6" width="14.1640625" style="2" customWidth="1"/>
    <col min="7" max="8" width="18.6640625" style="2" customWidth="1"/>
    <col min="9" max="9" width="19.6640625" style="2" customWidth="1"/>
    <col min="10" max="10" width="13.6640625" style="2" bestFit="1" customWidth="1"/>
    <col min="11" max="11" width="12.6640625" style="2" bestFit="1" customWidth="1"/>
    <col min="12" max="12" width="24.83203125" style="2" customWidth="1"/>
    <col min="13" max="13" width="12.6640625" style="2" customWidth="1"/>
    <col min="14" max="14" width="11.5" style="2" customWidth="1"/>
    <col min="15"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Parameters'!$F$44="No",F4,I4)</f>
        <v>137.78722919481962</v>
      </c>
      <c r="D4" s="45">
        <f>IF('NG Parameters'!$F$44="No",G4,J4)</f>
        <v>4960.3402510135065</v>
      </c>
      <c r="E4" s="45">
        <f>IF('NG Parameters'!$F$44="No",H4,K4)</f>
        <v>11987.488939949306</v>
      </c>
      <c r="F4" s="148">
        <f>C9/C11*C12/C10*10^12</f>
        <v>137.78722919481962</v>
      </c>
      <c r="G4" s="148">
        <f>F4*Conversions!$B$7</f>
        <v>4960.3402510135065</v>
      </c>
      <c r="H4" s="148">
        <f>F4*Conversions!$B$6</f>
        <v>11987.488939949306</v>
      </c>
      <c r="I4" s="148">
        <f>F4*(1+'NG Parameters'!$F$45/100)</f>
        <v>151.56595211430158</v>
      </c>
      <c r="J4" s="148">
        <f>G4*(1+'NG Parameters'!$F$45/100)</f>
        <v>5456.3742761148578</v>
      </c>
      <c r="K4" s="148">
        <f>H4*(1+'NG Parameters'!$F$45/100)</f>
        <v>13186.237833944237</v>
      </c>
    </row>
    <row r="5" spans="1:11" x14ac:dyDescent="0.2">
      <c r="B5" s="43" t="s">
        <v>50</v>
      </c>
      <c r="C5" s="45">
        <f>IF('NG Parameters'!$F$44="No",F5,I5)</f>
        <v>0.13062229327668898</v>
      </c>
      <c r="D5" s="45">
        <f>IF('NG Parameters'!$F$44="No",G5,J5)</f>
        <v>4.7024025579608031</v>
      </c>
      <c r="E5" s="45">
        <f>IF('NG Parameters'!$F$44="No",H5,K5)</f>
        <v>11.36413951507194</v>
      </c>
      <c r="F5" s="148">
        <f>F4*Conversions!$B$8</f>
        <v>0.13062229327668898</v>
      </c>
      <c r="G5" s="148">
        <f>F5*Conversions!$B$7</f>
        <v>4.7024025579608031</v>
      </c>
      <c r="H5" s="148">
        <f>F5*Conversions!$B$6</f>
        <v>11.36413951507194</v>
      </c>
      <c r="I5" s="148">
        <f>F5*(1+'NG Parameters'!$F$45/100)</f>
        <v>0.14368452260435788</v>
      </c>
      <c r="J5" s="148">
        <f>G5*(1+'NG Parameters'!$F$45/100)</f>
        <v>5.1726428137568838</v>
      </c>
      <c r="K5" s="148">
        <f>H5*(1+'NG Parameters'!$F$45/100)</f>
        <v>12.500553466579136</v>
      </c>
    </row>
    <row r="6" spans="1:11" x14ac:dyDescent="0.2">
      <c r="B6" s="43" t="s">
        <v>51</v>
      </c>
      <c r="C6" s="45">
        <f>IF('NG Parameters'!$F$44="No",F6,I6)</f>
        <v>0.94593566602157853</v>
      </c>
      <c r="D6" s="45">
        <f>IF('NG Parameters'!$F$44="No",G6,J6)</f>
        <v>34.053683976776824</v>
      </c>
      <c r="E6" s="45">
        <f>IF('NG Parameters'!$F$44="No",H6,K6)</f>
        <v>82.296402943877325</v>
      </c>
      <c r="F6" s="148">
        <f>F4*C$8/10^6</f>
        <v>0.94593566602157853</v>
      </c>
      <c r="G6" s="148">
        <f>F6*Conversions!$B$7</f>
        <v>34.053683976776824</v>
      </c>
      <c r="H6" s="148">
        <f>F6*Conversions!$B$6</f>
        <v>82.296402943877325</v>
      </c>
      <c r="I6" s="148">
        <f>F6*(1+'NG Parameters'!$F$45/100)</f>
        <v>1.0405292326237365</v>
      </c>
      <c r="J6" s="148">
        <f>G6*(1+'NG Parameters'!$F$45/100)</f>
        <v>37.459052374454508</v>
      </c>
      <c r="K6" s="148">
        <f>H6*(1+'NG Parameters'!$F$45/100)</f>
        <v>90.526043238265061</v>
      </c>
    </row>
    <row r="7" spans="1:11" x14ac:dyDescent="0.2">
      <c r="B7" s="46"/>
      <c r="C7" s="47"/>
    </row>
    <row r="8" spans="1:11" ht="16" x14ac:dyDescent="0.2">
      <c r="B8" s="9" t="s">
        <v>44</v>
      </c>
      <c r="C8" s="104">
        <f>'NG Parameters'!F$42</f>
        <v>6865.1911468812878</v>
      </c>
      <c r="D8" s="26" t="s">
        <v>45</v>
      </c>
    </row>
    <row r="9" spans="1:11" x14ac:dyDescent="0.2">
      <c r="B9" s="27" t="s">
        <v>218</v>
      </c>
      <c r="C9" s="158">
        <f>'NG Parameters'!F4/100</f>
        <v>7.7467393975237707E-3</v>
      </c>
      <c r="D9" s="27"/>
    </row>
    <row r="10" spans="1:11" x14ac:dyDescent="0.2">
      <c r="B10" s="27" t="s">
        <v>24</v>
      </c>
      <c r="C10" s="50">
        <f>'NG Parameters'!F$43</f>
        <v>1037</v>
      </c>
      <c r="D10" s="26" t="s">
        <v>25</v>
      </c>
    </row>
    <row r="11" spans="1:11" ht="16" x14ac:dyDescent="0.2">
      <c r="B11" s="5" t="s">
        <v>100</v>
      </c>
      <c r="C11" s="103">
        <f>Conversions!B$2</f>
        <v>51505.644797356501</v>
      </c>
      <c r="D11" s="120" t="s">
        <v>101</v>
      </c>
    </row>
    <row r="12" spans="1:11" x14ac:dyDescent="0.2">
      <c r="B12" s="27" t="s">
        <v>224</v>
      </c>
      <c r="C12" s="51">
        <f>'NG Parameters'!F52/100</f>
        <v>0.95</v>
      </c>
      <c r="D12" s="27"/>
    </row>
    <row r="13" spans="1:11" x14ac:dyDescent="0.2">
      <c r="B13" s="25"/>
      <c r="C13" s="52"/>
      <c r="D13" s="22"/>
    </row>
    <row r="14" spans="1:11" ht="16" x14ac:dyDescent="0.2">
      <c r="B14" s="27" t="s">
        <v>186</v>
      </c>
      <c r="C14" s="52"/>
      <c r="D14" s="22"/>
      <c r="G14" s="165" t="s">
        <v>396</v>
      </c>
      <c r="H14" s="230" t="s">
        <v>397</v>
      </c>
    </row>
    <row r="15" spans="1:11" x14ac:dyDescent="0.2">
      <c r="C15" s="53" t="s">
        <v>21</v>
      </c>
      <c r="D15" s="53" t="s">
        <v>18</v>
      </c>
      <c r="F15" s="80"/>
      <c r="G15" s="165" t="s">
        <v>278</v>
      </c>
      <c r="H15" s="165" t="s">
        <v>389</v>
      </c>
      <c r="I15" s="165" t="s">
        <v>279</v>
      </c>
    </row>
    <row r="16" spans="1:11" x14ac:dyDescent="0.2">
      <c r="B16" s="80" t="s">
        <v>22</v>
      </c>
      <c r="C16" s="80"/>
      <c r="D16" s="229" t="s">
        <v>389</v>
      </c>
      <c r="E16" s="3" t="s">
        <v>166</v>
      </c>
      <c r="F16" s="165" t="s">
        <v>303</v>
      </c>
    </row>
    <row r="17" spans="2:13" x14ac:dyDescent="0.2">
      <c r="B17" s="55" t="s">
        <v>39</v>
      </c>
      <c r="C17" s="47">
        <f>SUM(C18:C19)*E17*F17</f>
        <v>9.6542354520706471E-3</v>
      </c>
      <c r="D17" s="226">
        <f>HLOOKUP(D16,G15:I21,3,FALSE)*E17*F17</f>
        <v>2.2227092928934773E-2</v>
      </c>
      <c r="E17" s="119">
        <f>'NG Parameters'!F$5/100</f>
        <v>0.6</v>
      </c>
      <c r="F17" s="197">
        <f>I31</f>
        <v>4.8743624844155209E-3</v>
      </c>
      <c r="G17" s="2">
        <v>6</v>
      </c>
      <c r="H17" s="2">
        <v>7.6</v>
      </c>
      <c r="I17" s="165">
        <v>9.6</v>
      </c>
    </row>
    <row r="18" spans="2:13" x14ac:dyDescent="0.2">
      <c r="B18" s="55" t="s">
        <v>7</v>
      </c>
      <c r="C18" s="226">
        <v>1.891548</v>
      </c>
      <c r="D18" s="226"/>
      <c r="E18" s="118"/>
      <c r="H18" s="165"/>
      <c r="I18" s="62"/>
    </row>
    <row r="19" spans="2:13" x14ac:dyDescent="0.2">
      <c r="B19" s="55" t="s">
        <v>4</v>
      </c>
      <c r="C19" s="226">
        <v>1.4094770000000001</v>
      </c>
      <c r="D19" s="226"/>
      <c r="E19" s="139"/>
      <c r="I19" s="62"/>
    </row>
    <row r="20" spans="2:13" x14ac:dyDescent="0.2">
      <c r="B20" s="55" t="s">
        <v>19</v>
      </c>
      <c r="C20" s="226">
        <v>1.390566</v>
      </c>
      <c r="D20" s="226">
        <f>HLOOKUP(D16,G15:I21,6,FALSE)</f>
        <v>2.6</v>
      </c>
      <c r="E20" s="3"/>
      <c r="F20" s="227"/>
      <c r="G20" s="2">
        <v>2.4</v>
      </c>
      <c r="H20" s="165">
        <v>2.6</v>
      </c>
      <c r="I20" s="62">
        <v>3.2</v>
      </c>
    </row>
    <row r="21" spans="2:13" x14ac:dyDescent="0.2">
      <c r="B21" s="55" t="s">
        <v>20</v>
      </c>
      <c r="C21" s="47">
        <v>0.48785400000000001</v>
      </c>
      <c r="D21" s="226">
        <f>HLOOKUP(D16,G15:I21,7,FALSE)</f>
        <v>0.72</v>
      </c>
      <c r="G21" s="56">
        <v>0.65</v>
      </c>
      <c r="H21" s="47">
        <v>0.72</v>
      </c>
      <c r="I21" s="56">
        <v>0.92</v>
      </c>
    </row>
    <row r="22" spans="2:13" x14ac:dyDescent="0.2">
      <c r="B22" s="55" t="s">
        <v>23</v>
      </c>
      <c r="C22" s="47">
        <f>SUM(C17,C20:C21)</f>
        <v>1.8880742354520705</v>
      </c>
      <c r="D22" s="226">
        <f>SUM(D17,D20:D21)</f>
        <v>3.3422270929289351</v>
      </c>
      <c r="G22" s="226">
        <f>SUM(G17,G20:G21)</f>
        <v>9.0500000000000007</v>
      </c>
      <c r="H22" s="226">
        <f t="shared" ref="H22:I22" si="0">SUM(H17,H20:H21)</f>
        <v>10.92</v>
      </c>
      <c r="I22" s="226">
        <f t="shared" si="0"/>
        <v>13.72</v>
      </c>
    </row>
    <row r="23" spans="2:13" x14ac:dyDescent="0.2">
      <c r="B23" s="55"/>
      <c r="C23" s="47"/>
      <c r="D23" s="47"/>
    </row>
    <row r="24" spans="2:13" x14ac:dyDescent="0.2">
      <c r="B24" s="80" t="s">
        <v>38</v>
      </c>
      <c r="C24" s="80"/>
      <c r="D24" s="80"/>
      <c r="E24" s="118" t="s">
        <v>167</v>
      </c>
    </row>
    <row r="25" spans="2:13" x14ac:dyDescent="0.2">
      <c r="B25" s="55" t="s">
        <v>39</v>
      </c>
      <c r="C25" s="47">
        <f>C17*C$11/10^3/E25</f>
        <v>0.59909352046312914</v>
      </c>
      <c r="D25" s="47">
        <f>D17*C$11/10^3/E25</f>
        <v>1.3793021123801794</v>
      </c>
      <c r="E25" s="119">
        <f>'NG Parameters'!F47/100</f>
        <v>0.83</v>
      </c>
      <c r="H25" s="165" t="s">
        <v>286</v>
      </c>
      <c r="I25" s="165" t="s">
        <v>287</v>
      </c>
      <c r="J25" s="165" t="s">
        <v>285</v>
      </c>
    </row>
    <row r="26" spans="2:13" ht="16" x14ac:dyDescent="0.2">
      <c r="B26" s="55" t="s">
        <v>7</v>
      </c>
      <c r="C26" s="47"/>
      <c r="D26" s="122"/>
      <c r="E26" s="119">
        <f>'NG Parameters'!F47/100</f>
        <v>0.83</v>
      </c>
      <c r="G26" s="165" t="s">
        <v>301</v>
      </c>
      <c r="H26" s="62">
        <v>477513</v>
      </c>
      <c r="I26" s="62">
        <v>425</v>
      </c>
      <c r="J26" s="62">
        <v>7438</v>
      </c>
      <c r="K26" s="174" t="s">
        <v>302</v>
      </c>
      <c r="L26" s="174" t="s">
        <v>300</v>
      </c>
    </row>
    <row r="27" spans="2:13" ht="16" x14ac:dyDescent="0.2">
      <c r="B27" s="55" t="s">
        <v>4</v>
      </c>
      <c r="C27" s="47"/>
      <c r="D27" s="122"/>
      <c r="E27" s="119">
        <f>'NG Parameters'!F48/100</f>
        <v>0.83</v>
      </c>
      <c r="G27" s="165" t="s">
        <v>381</v>
      </c>
      <c r="H27" s="62">
        <v>32000000</v>
      </c>
      <c r="I27" s="62">
        <v>5843000</v>
      </c>
      <c r="J27" s="62">
        <f>L31</f>
        <v>17660881.469999999</v>
      </c>
      <c r="K27" s="165" t="s">
        <v>215</v>
      </c>
      <c r="L27" s="174" t="s">
        <v>298</v>
      </c>
    </row>
    <row r="28" spans="2:13" x14ac:dyDescent="0.2">
      <c r="B28" s="55" t="s">
        <v>19</v>
      </c>
      <c r="C28" s="47">
        <f>C20*C$11/10^3/E28</f>
        <v>86.291564413591374</v>
      </c>
      <c r="D28" s="47">
        <f>D20*C$11/10^3/E28</f>
        <v>161.34298370256255</v>
      </c>
      <c r="E28" s="119">
        <f>'NG Parameters'!F47/100</f>
        <v>0.83</v>
      </c>
      <c r="H28" s="62"/>
      <c r="I28" s="62"/>
      <c r="J28" s="62"/>
    </row>
    <row r="29" spans="2:13" x14ac:dyDescent="0.2">
      <c r="B29" s="55" t="s">
        <v>20</v>
      </c>
      <c r="C29" s="47">
        <f>C21*C$11/10^3/E29</f>
        <v>30.273776912011517</v>
      </c>
      <c r="D29" s="47">
        <f>D21*C$11/10^3/E29</f>
        <v>44.679595486863477</v>
      </c>
      <c r="E29" s="119">
        <f>'NG Parameters'!F49/100</f>
        <v>0.83</v>
      </c>
      <c r="G29" s="165" t="s">
        <v>299</v>
      </c>
      <c r="H29" s="62">
        <f>H27/H26</f>
        <v>67.013882344564436</v>
      </c>
      <c r="I29" s="62">
        <f>I27/I26</f>
        <v>13748.235294117647</v>
      </c>
      <c r="J29" s="62">
        <f>J27/J26</f>
        <v>2374.4126741059422</v>
      </c>
      <c r="L29" s="62">
        <f>500.1</f>
        <v>500.1</v>
      </c>
      <c r="M29" s="165" t="s">
        <v>289</v>
      </c>
    </row>
    <row r="30" spans="2:13" x14ac:dyDescent="0.2">
      <c r="B30" s="55" t="s">
        <v>23</v>
      </c>
      <c r="C30" s="47">
        <f>SUM(C25:C29)</f>
        <v>117.16443484606602</v>
      </c>
      <c r="D30" s="47">
        <f>SUM(D25:D29)</f>
        <v>207.40188130180621</v>
      </c>
      <c r="G30" s="165" t="s">
        <v>353</v>
      </c>
      <c r="H30" s="62">
        <f>H29/H29</f>
        <v>1</v>
      </c>
      <c r="I30" s="62">
        <f>I29/H29</f>
        <v>205.15503375</v>
      </c>
      <c r="J30" s="62">
        <f>J29/H29</f>
        <v>35.431653726573465</v>
      </c>
      <c r="L30" s="62">
        <f>L29*35.3147</f>
        <v>17660.88147</v>
      </c>
      <c r="M30" s="165" t="s">
        <v>81</v>
      </c>
    </row>
    <row r="31" spans="2:13" x14ac:dyDescent="0.2">
      <c r="B31" s="80"/>
      <c r="C31" s="47"/>
      <c r="D31" s="47"/>
      <c r="H31" s="75">
        <f>1/H30</f>
        <v>1</v>
      </c>
      <c r="I31" s="232">
        <f>1/I30</f>
        <v>4.8743624844155209E-3</v>
      </c>
      <c r="L31" s="62">
        <f>L30*10^3</f>
        <v>17660881.469999999</v>
      </c>
      <c r="M31" s="165" t="s">
        <v>215</v>
      </c>
    </row>
    <row r="32" spans="2:13" x14ac:dyDescent="0.2">
      <c r="B32" s="55" t="s">
        <v>192</v>
      </c>
      <c r="C32" s="65"/>
      <c r="D32" s="65"/>
    </row>
    <row r="33" spans="2:15" x14ac:dyDescent="0.2">
      <c r="B33" s="55" t="s">
        <v>39</v>
      </c>
      <c r="C33" s="83">
        <f>C25/$C$52</f>
        <v>1.9216498553250136E-5</v>
      </c>
      <c r="D33" s="83">
        <f>D25/$D$52</f>
        <v>5.1518790225025034E-5</v>
      </c>
    </row>
    <row r="34" spans="2:15" x14ac:dyDescent="0.2">
      <c r="B34" s="55" t="s">
        <v>7</v>
      </c>
      <c r="C34" s="83"/>
      <c r="D34" s="83"/>
    </row>
    <row r="35" spans="2:15" x14ac:dyDescent="0.2">
      <c r="B35" s="55" t="s">
        <v>4</v>
      </c>
      <c r="C35" s="83"/>
      <c r="D35" s="83"/>
    </row>
    <row r="36" spans="2:15" x14ac:dyDescent="0.2">
      <c r="B36" s="55" t="s">
        <v>19</v>
      </c>
      <c r="C36" s="83">
        <f>C28/$C$52</f>
        <v>2.7678845890864944E-3</v>
      </c>
      <c r="D36" s="83">
        <f>D28/$D$52</f>
        <v>6.0263775840291378E-3</v>
      </c>
    </row>
    <row r="37" spans="2:15" x14ac:dyDescent="0.2">
      <c r="B37" s="55" t="s">
        <v>20</v>
      </c>
      <c r="C37" s="83">
        <f>C29/$C$52</f>
        <v>9.7106039434604523E-4</v>
      </c>
      <c r="D37" s="83">
        <f>D29/$D$52</f>
        <v>1.6688430232696075E-3</v>
      </c>
    </row>
    <row r="38" spans="2:15" x14ac:dyDescent="0.2">
      <c r="B38" s="55" t="s">
        <v>23</v>
      </c>
      <c r="C38" s="83">
        <f>C30/$C$52</f>
        <v>3.7581614819857897E-3</v>
      </c>
      <c r="D38" s="83">
        <f>D30/$D$52</f>
        <v>7.7467393975237707E-3</v>
      </c>
    </row>
    <row r="40" spans="2:15" x14ac:dyDescent="0.2">
      <c r="B40" s="55" t="s">
        <v>193</v>
      </c>
      <c r="C40" s="65"/>
      <c r="D40" s="65"/>
    </row>
    <row r="41" spans="2:15" x14ac:dyDescent="0.2">
      <c r="B41" s="55" t="s">
        <v>39</v>
      </c>
      <c r="C41" s="83">
        <f>C25/$C$48</f>
        <v>1.6050498841105261E-5</v>
      </c>
      <c r="D41" s="83">
        <f>D25/$D$48</f>
        <v>4.1905420172975866E-5</v>
      </c>
    </row>
    <row r="42" spans="2:15" x14ac:dyDescent="0.2">
      <c r="B42" s="55" t="s">
        <v>7</v>
      </c>
      <c r="C42" s="83"/>
      <c r="D42" s="83"/>
    </row>
    <row r="43" spans="2:15" x14ac:dyDescent="0.2">
      <c r="B43" s="55" t="s">
        <v>4</v>
      </c>
      <c r="C43" s="83"/>
      <c r="D43" s="83"/>
    </row>
    <row r="44" spans="2:15" x14ac:dyDescent="0.2">
      <c r="B44" s="55" t="s">
        <v>19</v>
      </c>
      <c r="C44" s="83">
        <f t="shared" ref="C44:C45" si="1">C28/$C$48</f>
        <v>2.3118638531540395E-3</v>
      </c>
      <c r="D44" s="83">
        <f t="shared" ref="D44:D45" si="2">D28/$D$48</f>
        <v>4.9018597617821198E-3</v>
      </c>
    </row>
    <row r="45" spans="2:15" x14ac:dyDescent="0.2">
      <c r="B45" s="55" t="s">
        <v>20</v>
      </c>
      <c r="C45" s="83">
        <f t="shared" si="1"/>
        <v>8.1107407215235447E-4</v>
      </c>
      <c r="D45" s="83">
        <f t="shared" si="2"/>
        <v>1.3574380878781254E-3</v>
      </c>
    </row>
    <row r="46" spans="2:15" x14ac:dyDescent="0.2">
      <c r="B46" s="55" t="s">
        <v>23</v>
      </c>
      <c r="C46" s="83">
        <f>C30/$C$48</f>
        <v>3.1389884241474993E-3</v>
      </c>
      <c r="D46" s="83">
        <f>D30/$D$48</f>
        <v>6.3012032698332218E-3</v>
      </c>
      <c r="E46" s="131">
        <v>2.75E-2</v>
      </c>
      <c r="O46" s="165"/>
    </row>
    <row r="47" spans="2:15" x14ac:dyDescent="0.2">
      <c r="B47" s="55"/>
      <c r="C47" s="83"/>
      <c r="D47" s="83"/>
      <c r="O47" s="165"/>
    </row>
    <row r="48" spans="2:15" x14ac:dyDescent="0.2">
      <c r="B48" s="46" t="s">
        <v>29</v>
      </c>
      <c r="C48" s="60">
        <v>37325.538999999997</v>
      </c>
      <c r="D48" s="60">
        <v>32914.646999999997</v>
      </c>
      <c r="E48" s="61" t="s">
        <v>32</v>
      </c>
    </row>
    <row r="50" spans="1:12" x14ac:dyDescent="0.2">
      <c r="B50" s="46" t="s">
        <v>26</v>
      </c>
      <c r="C50" s="62">
        <v>27568.156999999999</v>
      </c>
      <c r="D50" s="60">
        <v>24989.285</v>
      </c>
      <c r="E50" s="61" t="s">
        <v>30</v>
      </c>
    </row>
    <row r="51" spans="1:12" x14ac:dyDescent="0.2">
      <c r="B51" s="46" t="s">
        <v>27</v>
      </c>
      <c r="C51" s="62">
        <v>3607.8409999999999</v>
      </c>
      <c r="D51" s="62">
        <v>1783.5119999999999</v>
      </c>
      <c r="E51" s="61" t="s">
        <v>31</v>
      </c>
      <c r="I51" s="165"/>
      <c r="J51" s="62"/>
      <c r="K51" s="62"/>
    </row>
    <row r="52" spans="1:12" x14ac:dyDescent="0.2">
      <c r="B52" s="46" t="s">
        <v>28</v>
      </c>
      <c r="C52" s="62">
        <v>31175.998</v>
      </c>
      <c r="D52" s="62">
        <v>26772.796999999999</v>
      </c>
      <c r="J52" s="62"/>
      <c r="K52" s="62"/>
      <c r="L52" s="62"/>
    </row>
    <row r="53" spans="1:12" x14ac:dyDescent="0.2">
      <c r="B53" s="46" t="s">
        <v>205</v>
      </c>
      <c r="C53" s="136">
        <f>C52/C48</f>
        <v>0.83524575492399455</v>
      </c>
      <c r="D53" s="136">
        <f>D52/D48</f>
        <v>0.81340070273273779</v>
      </c>
    </row>
    <row r="54" spans="1:12" x14ac:dyDescent="0.2">
      <c r="B54" s="46" t="s">
        <v>41</v>
      </c>
      <c r="C54" s="60">
        <f>C52*C10*10^3</f>
        <v>32329509926</v>
      </c>
      <c r="D54" s="60">
        <f>D52*C10*10^3</f>
        <v>27763390489</v>
      </c>
    </row>
    <row r="55" spans="1:12" x14ac:dyDescent="0.2">
      <c r="C55" s="60"/>
      <c r="D55" s="60"/>
    </row>
    <row r="56" spans="1:12" x14ac:dyDescent="0.2">
      <c r="B56" s="46" t="s">
        <v>47</v>
      </c>
      <c r="C56" s="62">
        <f>C22/C54*10^12</f>
        <v>58.40095441513779</v>
      </c>
      <c r="D56" s="62">
        <f>D22/D54*10^12</f>
        <v>120.38252655968452</v>
      </c>
    </row>
    <row r="57" spans="1:12" x14ac:dyDescent="0.2">
      <c r="B57" s="46"/>
      <c r="C57" s="62"/>
      <c r="D57" s="62"/>
    </row>
    <row r="58" spans="1:12" x14ac:dyDescent="0.2">
      <c r="B58" s="46" t="s">
        <v>46</v>
      </c>
      <c r="C58" s="56">
        <f>C56*C8/10^6</f>
        <v>0.40093371522022159</v>
      </c>
      <c r="D58" s="56">
        <f>D56*C8/10^6</f>
        <v>0.82644905557674764</v>
      </c>
    </row>
    <row r="60" spans="1:12" s="39" customFormat="1" x14ac:dyDescent="0.2">
      <c r="A60" s="39" t="s">
        <v>73</v>
      </c>
    </row>
    <row r="61" spans="1:12" x14ac:dyDescent="0.2">
      <c r="B61" s="40" t="s">
        <v>42</v>
      </c>
      <c r="C61" s="41"/>
      <c r="D61" s="146"/>
      <c r="E61" s="146"/>
    </row>
    <row r="62" spans="1:12" x14ac:dyDescent="0.2">
      <c r="B62" s="41"/>
      <c r="C62" s="40" t="s">
        <v>71</v>
      </c>
      <c r="D62" s="144" t="s">
        <v>228</v>
      </c>
      <c r="E62" s="144" t="s">
        <v>225</v>
      </c>
    </row>
    <row r="63" spans="1:12" x14ac:dyDescent="0.2">
      <c r="B63" s="43" t="s">
        <v>49</v>
      </c>
      <c r="C63" s="63">
        <f>IF('NG Parameters'!$F$44="No",D63,E63)</f>
        <v>5185.3781866351292</v>
      </c>
      <c r="D63" s="148">
        <f>SUM(C75:C77)/C82*10^12</f>
        <v>5185.3781866351292</v>
      </c>
      <c r="E63" s="148">
        <f>D63*(1+'NG Parameters'!$F$45/100)</f>
        <v>5703.9160052986426</v>
      </c>
    </row>
    <row r="64" spans="1:12" x14ac:dyDescent="0.2">
      <c r="B64" s="43" t="s">
        <v>50</v>
      </c>
      <c r="C64" s="63">
        <f>IF('NG Parameters'!$F$44="No",D64,E64)</f>
        <v>4.9157385209301019</v>
      </c>
      <c r="D64" s="148">
        <f>D63*Conversions!$B$8</f>
        <v>4.9157385209301019</v>
      </c>
      <c r="E64" s="148">
        <f>D64*(1+'NG Parameters'!$F$45/100)</f>
        <v>5.4073123730231121</v>
      </c>
    </row>
    <row r="65" spans="2:21" x14ac:dyDescent="0.2">
      <c r="B65" s="43" t="s">
        <v>51</v>
      </c>
      <c r="C65" s="63">
        <f>IF('NG Parameters'!$F$44="No",D65,E65)</f>
        <v>35.598612420118833</v>
      </c>
      <c r="D65" s="148">
        <f>D63*C$70/10^6</f>
        <v>35.598612420118833</v>
      </c>
      <c r="E65" s="148">
        <f>D65*(1+'NG Parameters'!$F$45/100)</f>
        <v>39.158473662130717</v>
      </c>
    </row>
    <row r="67" spans="2:21" x14ac:dyDescent="0.2">
      <c r="B67" s="5" t="s">
        <v>243</v>
      </c>
      <c r="C67" s="143">
        <f>'NG Parameters'!F6</f>
        <v>4.3480490514416106</v>
      </c>
      <c r="D67" s="26" t="s">
        <v>216</v>
      </c>
    </row>
    <row r="68" spans="2:21" x14ac:dyDescent="0.2">
      <c r="B68" s="5" t="s">
        <v>244</v>
      </c>
      <c r="C68" s="143">
        <f>'NG Parameters'!F7</f>
        <v>0.64339585606763616</v>
      </c>
      <c r="D68" s="26" t="s">
        <v>216</v>
      </c>
    </row>
    <row r="69" spans="2:21" x14ac:dyDescent="0.2">
      <c r="B69" s="164" t="s">
        <v>373</v>
      </c>
      <c r="C69" s="143">
        <f>'NG Parameters'!F8</f>
        <v>0.38579227203138206</v>
      </c>
      <c r="D69" s="26"/>
    </row>
    <row r="70" spans="2:21" ht="16" x14ac:dyDescent="0.2">
      <c r="B70" s="9" t="s">
        <v>44</v>
      </c>
      <c r="C70" s="104">
        <f>'NG Parameters'!F$42</f>
        <v>6865.1911468812878</v>
      </c>
      <c r="D70" s="5" t="s">
        <v>45</v>
      </c>
    </row>
    <row r="71" spans="2:21" ht="16" x14ac:dyDescent="0.2">
      <c r="B71" s="5" t="s">
        <v>100</v>
      </c>
      <c r="C71" s="103">
        <f>Conversions!B$2</f>
        <v>51505.644797356501</v>
      </c>
      <c r="D71" s="120" t="s">
        <v>101</v>
      </c>
    </row>
    <row r="72" spans="2:21" x14ac:dyDescent="0.2">
      <c r="B72" s="27" t="s">
        <v>24</v>
      </c>
      <c r="C72" s="50">
        <f>'NG Parameters'!F$43</f>
        <v>1037</v>
      </c>
      <c r="D72" s="5" t="s">
        <v>25</v>
      </c>
    </row>
    <row r="73" spans="2:21" ht="16" x14ac:dyDescent="0.2">
      <c r="B73" s="9" t="s">
        <v>126</v>
      </c>
      <c r="C73" s="110">
        <f>Conversions!B$5</f>
        <v>3.6666666666666665</v>
      </c>
      <c r="D73" s="5" t="s">
        <v>116</v>
      </c>
    </row>
    <row r="74" spans="2:21" s="80" customFormat="1" x14ac:dyDescent="0.2">
      <c r="B74" s="20"/>
      <c r="C74" s="106"/>
      <c r="D74" s="19"/>
    </row>
    <row r="75" spans="2:21" x14ac:dyDescent="0.2">
      <c r="B75" s="55" t="s">
        <v>241</v>
      </c>
      <c r="C75" s="62">
        <f>C67*C$81/10^6</f>
        <v>135.55476853164555</v>
      </c>
    </row>
    <row r="76" spans="2:21" x14ac:dyDescent="0.2">
      <c r="B76" s="55" t="s">
        <v>242</v>
      </c>
      <c r="C76" s="62">
        <f t="shared" ref="C76:C77" si="3">C68*C$81/10^6</f>
        <v>20.058507921972911</v>
      </c>
    </row>
    <row r="77" spans="2:21" x14ac:dyDescent="0.2">
      <c r="B77" s="55" t="s">
        <v>374</v>
      </c>
      <c r="C77" s="62">
        <f t="shared" si="3"/>
        <v>12.027459101265823</v>
      </c>
      <c r="R77" s="165" t="s">
        <v>287</v>
      </c>
    </row>
    <row r="78" spans="2:21" x14ac:dyDescent="0.2">
      <c r="B78" s="55" t="s">
        <v>157</v>
      </c>
      <c r="C78" s="65">
        <f>C50</f>
        <v>27568.156999999999</v>
      </c>
      <c r="D78" s="2" t="s">
        <v>81</v>
      </c>
      <c r="K78" s="165" t="s">
        <v>91</v>
      </c>
    </row>
    <row r="79" spans="2:21" ht="16" x14ac:dyDescent="0.2">
      <c r="B79" s="55" t="s">
        <v>158</v>
      </c>
      <c r="C79" s="65">
        <f>C51</f>
        <v>3607.8409999999999</v>
      </c>
      <c r="D79" s="2" t="s">
        <v>81</v>
      </c>
      <c r="K79" s="210" t="s">
        <v>275</v>
      </c>
      <c r="O79" s="165" t="s">
        <v>275</v>
      </c>
      <c r="R79" s="220" t="s">
        <v>288</v>
      </c>
      <c r="S79" s="218">
        <v>1.34</v>
      </c>
      <c r="T79" s="220" t="s">
        <v>289</v>
      </c>
      <c r="U79" s="174" t="s">
        <v>290</v>
      </c>
    </row>
    <row r="80" spans="2:21" x14ac:dyDescent="0.2">
      <c r="B80" s="55" t="s">
        <v>159</v>
      </c>
      <c r="C80" s="65">
        <f>C52</f>
        <v>31175.998</v>
      </c>
      <c r="D80" s="2" t="s">
        <v>81</v>
      </c>
      <c r="J80" s="165" t="s">
        <v>274</v>
      </c>
      <c r="K80" s="166">
        <f>K82/C81</f>
        <v>0.13792661906124062</v>
      </c>
      <c r="L80" s="167"/>
      <c r="N80" s="165" t="s">
        <v>277</v>
      </c>
      <c r="O80" s="166">
        <f>O82/C81</f>
        <v>0.36566592030189377</v>
      </c>
      <c r="P80" s="167"/>
      <c r="R80" s="220"/>
      <c r="S80" s="175">
        <f>S79*35.3147</f>
        <v>47.321698000000005</v>
      </c>
      <c r="T80" s="220" t="s">
        <v>81</v>
      </c>
      <c r="U80" s="220"/>
    </row>
    <row r="81" spans="2:21" x14ac:dyDescent="0.2">
      <c r="B81" s="55" t="s">
        <v>159</v>
      </c>
      <c r="C81" s="65">
        <f>C80*10^3</f>
        <v>31175998</v>
      </c>
      <c r="D81" s="2" t="s">
        <v>215</v>
      </c>
      <c r="R81" s="220" t="s">
        <v>291</v>
      </c>
      <c r="S81" s="221">
        <v>0.95</v>
      </c>
      <c r="T81" s="220"/>
      <c r="U81" s="220"/>
    </row>
    <row r="82" spans="2:21" ht="17" x14ac:dyDescent="0.2">
      <c r="B82" s="46" t="s">
        <v>41</v>
      </c>
      <c r="C82" s="60">
        <f>C80*C72*10^3</f>
        <v>32329509926</v>
      </c>
      <c r="J82" s="55" t="s">
        <v>159</v>
      </c>
      <c r="K82" s="65">
        <v>4300000</v>
      </c>
      <c r="L82" s="2" t="s">
        <v>215</v>
      </c>
      <c r="N82" s="55" t="s">
        <v>159</v>
      </c>
      <c r="O82" s="65">
        <v>11400000</v>
      </c>
      <c r="P82" s="2" t="s">
        <v>215</v>
      </c>
      <c r="R82" s="171" t="s">
        <v>292</v>
      </c>
      <c r="S82" s="175">
        <v>84.64</v>
      </c>
      <c r="T82" s="220" t="s">
        <v>293</v>
      </c>
      <c r="U82" s="46"/>
    </row>
    <row r="83" spans="2:21" x14ac:dyDescent="0.2">
      <c r="B83" s="55" t="s">
        <v>256</v>
      </c>
      <c r="C83" s="122">
        <f>D107/C81</f>
        <v>4.3480490514416106</v>
      </c>
      <c r="D83" s="2" t="s">
        <v>245</v>
      </c>
      <c r="J83" s="55" t="s">
        <v>256</v>
      </c>
      <c r="K83" s="122">
        <f>K107/K82</f>
        <v>5.8335002413749963</v>
      </c>
      <c r="L83" s="2" t="s">
        <v>245</v>
      </c>
      <c r="N83" s="55" t="s">
        <v>256</v>
      </c>
      <c r="O83" s="122">
        <f>O107/O82</f>
        <v>2.2965579394367532</v>
      </c>
      <c r="P83" s="2" t="s">
        <v>245</v>
      </c>
      <c r="R83" s="220" t="s">
        <v>295</v>
      </c>
      <c r="S83" s="222">
        <f>S80*S81*S82*10^3</f>
        <v>3805043.0927840001</v>
      </c>
      <c r="T83" s="220" t="s">
        <v>294</v>
      </c>
      <c r="U83" s="46"/>
    </row>
    <row r="84" spans="2:21"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c r="R84" s="175"/>
      <c r="S84" s="220"/>
      <c r="T84" s="220"/>
      <c r="U84" s="46"/>
    </row>
    <row r="85" spans="2:21" ht="16" x14ac:dyDescent="0.2">
      <c r="B85" s="55" t="s">
        <v>372</v>
      </c>
      <c r="C85" s="122">
        <f>D109/C81</f>
        <v>0.38579227203138206</v>
      </c>
      <c r="D85" s="2" t="s">
        <v>245</v>
      </c>
      <c r="J85" s="55" t="s">
        <v>372</v>
      </c>
      <c r="K85" s="122">
        <f>K109/K82</f>
        <v>0.32315767441860466</v>
      </c>
      <c r="L85" s="2" t="s">
        <v>245</v>
      </c>
      <c r="N85" s="55"/>
      <c r="O85" s="86">
        <f>O109/O82</f>
        <v>0.10668070175438599</v>
      </c>
      <c r="R85" s="223" t="s">
        <v>7</v>
      </c>
      <c r="S85" s="222">
        <v>5914</v>
      </c>
      <c r="T85" s="220" t="s">
        <v>81</v>
      </c>
      <c r="U85" s="177" t="s">
        <v>296</v>
      </c>
    </row>
    <row r="86" spans="2:21" x14ac:dyDescent="0.2">
      <c r="B86" s="55"/>
      <c r="C86" s="122"/>
      <c r="R86" s="220"/>
      <c r="S86" s="222">
        <f>S85*10^3</f>
        <v>5914000</v>
      </c>
      <c r="T86" s="220" t="s">
        <v>215</v>
      </c>
      <c r="U86" s="220"/>
    </row>
    <row r="87" spans="2:21" x14ac:dyDescent="0.2">
      <c r="B87" s="91" t="s">
        <v>78</v>
      </c>
      <c r="R87" s="220"/>
      <c r="S87" s="220"/>
      <c r="T87" s="220"/>
      <c r="U87" s="220"/>
    </row>
    <row r="88" spans="2:21" x14ac:dyDescent="0.2">
      <c r="B88" s="80"/>
      <c r="C88" s="2" t="s">
        <v>222</v>
      </c>
      <c r="D88" s="2" t="s">
        <v>223</v>
      </c>
      <c r="F88" s="80"/>
      <c r="K88" s="2" t="s">
        <v>222</v>
      </c>
      <c r="L88" s="2" t="s">
        <v>223</v>
      </c>
      <c r="O88" s="2" t="s">
        <v>222</v>
      </c>
      <c r="P88" s="2" t="s">
        <v>223</v>
      </c>
      <c r="R88" s="220" t="s">
        <v>297</v>
      </c>
      <c r="S88" s="224">
        <f>S83/S86</f>
        <v>0.64339585606763616</v>
      </c>
      <c r="T88" s="220"/>
      <c r="U88" s="46"/>
    </row>
    <row r="89" spans="2:21" x14ac:dyDescent="0.2">
      <c r="B89" s="55" t="s">
        <v>247</v>
      </c>
      <c r="E89" s="225" t="s">
        <v>382</v>
      </c>
      <c r="F89" s="165" t="s">
        <v>276</v>
      </c>
      <c r="J89" s="55" t="s">
        <v>247</v>
      </c>
      <c r="N89" s="55" t="s">
        <v>247</v>
      </c>
      <c r="Q89" s="80"/>
      <c r="R89" s="80"/>
    </row>
    <row r="90" spans="2:21" x14ac:dyDescent="0.2">
      <c r="B90" s="55" t="s">
        <v>240</v>
      </c>
      <c r="E90" s="3"/>
      <c r="J90" s="55" t="s">
        <v>240</v>
      </c>
      <c r="N90" s="55" t="s">
        <v>240</v>
      </c>
      <c r="Q90" s="80"/>
      <c r="R90" s="80"/>
    </row>
    <row r="91" spans="2:21" x14ac:dyDescent="0.2">
      <c r="B91" s="55" t="s">
        <v>248</v>
      </c>
      <c r="E91" s="139"/>
      <c r="J91" s="55" t="s">
        <v>248</v>
      </c>
      <c r="N91" s="55" t="s">
        <v>248</v>
      </c>
      <c r="Q91" s="80"/>
      <c r="R91" s="80"/>
    </row>
    <row r="92" spans="2:21" x14ac:dyDescent="0.2">
      <c r="B92" s="55" t="s">
        <v>236</v>
      </c>
      <c r="E92" s="139"/>
      <c r="J92" s="55" t="s">
        <v>236</v>
      </c>
      <c r="N92" s="55" t="s">
        <v>236</v>
      </c>
      <c r="Q92" s="80"/>
      <c r="R92" s="80"/>
    </row>
    <row r="93" spans="2:21"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4">D93*$O$80</f>
        <v>1.4714586408932158</v>
      </c>
      <c r="Q93" s="47"/>
      <c r="R93" s="47"/>
    </row>
    <row r="94" spans="2:21"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4"/>
        <v>0</v>
      </c>
      <c r="Q94" s="47"/>
      <c r="R94" s="47"/>
    </row>
    <row r="95" spans="2:21" x14ac:dyDescent="0.2">
      <c r="B95" s="55" t="s">
        <v>367</v>
      </c>
      <c r="C95" s="140">
        <f>0.03456*E93/(1-F93)</f>
        <v>2.6248101265822783E-2</v>
      </c>
      <c r="D95" s="56"/>
      <c r="E95" s="139"/>
      <c r="J95" s="55" t="s">
        <v>367</v>
      </c>
      <c r="K95" s="56">
        <v>0</v>
      </c>
      <c r="L95" s="56"/>
      <c r="N95" s="55" t="s">
        <v>367</v>
      </c>
      <c r="O95" s="56">
        <v>3.339E-3</v>
      </c>
      <c r="P95" s="56">
        <f t="shared" si="4"/>
        <v>0</v>
      </c>
      <c r="Q95" s="47"/>
      <c r="R95" s="47"/>
    </row>
    <row r="96" spans="2:21" x14ac:dyDescent="0.2">
      <c r="B96" s="55" t="s">
        <v>250</v>
      </c>
      <c r="C96" s="140">
        <v>59.269931999999997</v>
      </c>
      <c r="D96" s="56"/>
      <c r="E96" s="139"/>
      <c r="J96" s="55" t="s">
        <v>250</v>
      </c>
      <c r="K96" s="56">
        <v>11.626189</v>
      </c>
      <c r="L96" s="56">
        <f>D96*$K$80</f>
        <v>0</v>
      </c>
      <c r="N96" s="55" t="s">
        <v>250</v>
      </c>
      <c r="O96" s="56">
        <v>8.3213270000000001</v>
      </c>
      <c r="P96" s="56">
        <f t="shared" si="4"/>
        <v>0</v>
      </c>
      <c r="Q96" s="47"/>
      <c r="R96" s="47"/>
    </row>
    <row r="97" spans="1:18" x14ac:dyDescent="0.2">
      <c r="B97" s="55" t="s">
        <v>235</v>
      </c>
      <c r="C97" s="209">
        <v>3.436995</v>
      </c>
      <c r="D97" s="56"/>
      <c r="E97" s="139"/>
      <c r="J97" s="55" t="s">
        <v>235</v>
      </c>
      <c r="K97" s="56">
        <v>1.438299</v>
      </c>
      <c r="L97" s="56">
        <f>D97*$K$80</f>
        <v>0</v>
      </c>
      <c r="N97" s="55" t="s">
        <v>235</v>
      </c>
      <c r="O97" s="56">
        <v>8.6674000000000001E-2</v>
      </c>
      <c r="P97" s="56">
        <f t="shared" si="4"/>
        <v>0</v>
      </c>
      <c r="Q97" s="47"/>
      <c r="R97" s="47"/>
    </row>
    <row r="98" spans="1:18" x14ac:dyDescent="0.2">
      <c r="B98" s="55" t="s">
        <v>368</v>
      </c>
      <c r="C98" s="140">
        <v>0.60960199999999998</v>
      </c>
      <c r="D98" s="56"/>
      <c r="E98" s="139"/>
      <c r="J98" s="55" t="s">
        <v>368</v>
      </c>
      <c r="K98" s="56">
        <v>0.14707300000000001</v>
      </c>
      <c r="L98" s="56"/>
      <c r="N98" s="55" t="s">
        <v>368</v>
      </c>
      <c r="O98" s="56">
        <v>2.4684999999999999E-2</v>
      </c>
      <c r="P98" s="56">
        <f t="shared" si="4"/>
        <v>0</v>
      </c>
      <c r="Q98" s="47"/>
      <c r="R98" s="47"/>
    </row>
    <row r="99" spans="1:18"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4"/>
        <v>14.284952359825015</v>
      </c>
      <c r="Q99" s="47"/>
      <c r="R99" s="47"/>
    </row>
    <row r="100" spans="1:18" ht="16" x14ac:dyDescent="0.2">
      <c r="B100" s="55" t="s">
        <v>237</v>
      </c>
      <c r="C100" s="140">
        <v>4.1193470000000003</v>
      </c>
      <c r="D100" s="56"/>
      <c r="E100" s="118"/>
      <c r="F100" s="3"/>
      <c r="J100" s="55" t="s">
        <v>237</v>
      </c>
      <c r="K100" s="180">
        <v>1.5641233000000001</v>
      </c>
      <c r="L100" s="56">
        <f>D100*$K$80</f>
        <v>0</v>
      </c>
      <c r="N100" s="55" t="s">
        <v>237</v>
      </c>
      <c r="O100" s="213">
        <v>0.20107700000000001</v>
      </c>
      <c r="P100" s="56"/>
      <c r="Q100" s="47"/>
      <c r="R100" s="47"/>
    </row>
    <row r="101" spans="1:18" x14ac:dyDescent="0.2">
      <c r="B101" s="55" t="s">
        <v>369</v>
      </c>
      <c r="C101" s="140">
        <v>11.391609000000001</v>
      </c>
      <c r="D101" s="56"/>
      <c r="E101" s="118"/>
      <c r="F101" s="3"/>
      <c r="J101" s="55" t="s">
        <v>369</v>
      </c>
      <c r="K101" s="56">
        <v>1.242505</v>
      </c>
      <c r="L101" s="56"/>
      <c r="N101" s="55" t="s">
        <v>369</v>
      </c>
      <c r="O101" s="213">
        <v>1.1881360000000001</v>
      </c>
      <c r="P101" s="56"/>
      <c r="Q101" s="47"/>
      <c r="R101" s="80"/>
    </row>
    <row r="102" spans="1:18" x14ac:dyDescent="0.2">
      <c r="B102" s="55" t="s">
        <v>252</v>
      </c>
      <c r="C102" s="140"/>
      <c r="E102" s="119">
        <f>'NG Parameters'!B47/100</f>
        <v>0.83</v>
      </c>
      <c r="F102" s="64">
        <v>1248.046</v>
      </c>
      <c r="G102" s="2" t="s">
        <v>79</v>
      </c>
      <c r="J102" s="55" t="s">
        <v>252</v>
      </c>
      <c r="K102" s="56">
        <v>3.1604E-2</v>
      </c>
      <c r="L102" s="56">
        <f>D102*$K$80</f>
        <v>0</v>
      </c>
      <c r="N102" s="55" t="s">
        <v>252</v>
      </c>
      <c r="O102" s="213"/>
      <c r="P102" s="56"/>
      <c r="Q102" s="47"/>
      <c r="R102" s="80"/>
    </row>
    <row r="103" spans="1:18" x14ac:dyDescent="0.2">
      <c r="B103" s="55" t="s">
        <v>253</v>
      </c>
      <c r="C103" s="140"/>
      <c r="E103" s="119">
        <f>'NG Parameters'!B49/100</f>
        <v>0.83</v>
      </c>
      <c r="F103" s="64">
        <v>446.19200000000001</v>
      </c>
      <c r="G103" s="2" t="s">
        <v>80</v>
      </c>
      <c r="J103" s="55" t="s">
        <v>253</v>
      </c>
      <c r="K103" s="56">
        <f>C103*$K$80</f>
        <v>0</v>
      </c>
      <c r="L103" s="56">
        <f>D103*$K$80</f>
        <v>0</v>
      </c>
      <c r="N103" s="55" t="s">
        <v>253</v>
      </c>
      <c r="O103" s="56"/>
      <c r="P103" s="56"/>
      <c r="Q103" s="47"/>
      <c r="R103" s="80"/>
    </row>
    <row r="104" spans="1:18"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c r="Q104" s="47"/>
      <c r="R104" s="80"/>
    </row>
    <row r="105" spans="1:18"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c r="Q105" s="65"/>
      <c r="R105" s="80"/>
    </row>
    <row r="106" spans="1:18" x14ac:dyDescent="0.2">
      <c r="B106" s="55" t="s">
        <v>371</v>
      </c>
      <c r="D106" s="47">
        <f>SUM(C95:D95,C98:D98,C101:D101)</f>
        <v>12.027459101265823</v>
      </c>
      <c r="J106" s="55" t="s">
        <v>371</v>
      </c>
      <c r="K106" s="47">
        <f>SUM(K95:L95,K98:L98,K101:L101)</f>
        <v>1.389578</v>
      </c>
      <c r="N106" s="55" t="s">
        <v>371</v>
      </c>
      <c r="O106" s="47">
        <f>SUM(O95:P95,O98:P98,O101:P101)</f>
        <v>1.2161600000000001</v>
      </c>
      <c r="Q106" s="65"/>
      <c r="R106" s="80"/>
    </row>
    <row r="107" spans="1:18" x14ac:dyDescent="0.2">
      <c r="B107" s="55" t="s">
        <v>255</v>
      </c>
      <c r="D107" s="65">
        <f>D104*10^6</f>
        <v>135554768.53164554</v>
      </c>
      <c r="J107" s="55" t="s">
        <v>255</v>
      </c>
      <c r="K107" s="65">
        <f>K104*10^6</f>
        <v>25084051.037912484</v>
      </c>
      <c r="N107" s="55" t="s">
        <v>255</v>
      </c>
      <c r="O107" s="65">
        <f>O104*10^6</f>
        <v>26180760.509578988</v>
      </c>
    </row>
    <row r="108" spans="1:18" x14ac:dyDescent="0.2">
      <c r="B108" s="55" t="s">
        <v>239</v>
      </c>
      <c r="D108" s="65">
        <f t="shared" ref="D108:D109" si="5">D105*10^6</f>
        <v>24147978.708860759</v>
      </c>
      <c r="J108" s="55" t="s">
        <v>239</v>
      </c>
      <c r="K108" s="65">
        <f t="shared" ref="K108:K109" si="6">K105*10^6</f>
        <v>8358764.3253164552</v>
      </c>
      <c r="N108" s="55" t="s">
        <v>239</v>
      </c>
      <c r="O108" s="65">
        <f t="shared" ref="O108:O109" si="7">O105*10^6</f>
        <v>317365.17721518985</v>
      </c>
    </row>
    <row r="109" spans="1:18" x14ac:dyDescent="0.2">
      <c r="B109" s="55" t="s">
        <v>370</v>
      </c>
      <c r="D109" s="65">
        <f t="shared" si="5"/>
        <v>12027459.101265823</v>
      </c>
      <c r="J109" s="55" t="s">
        <v>370</v>
      </c>
      <c r="K109" s="65">
        <f t="shared" si="6"/>
        <v>1389578</v>
      </c>
      <c r="N109" s="55" t="s">
        <v>370</v>
      </c>
      <c r="O109" s="65">
        <f t="shared" si="7"/>
        <v>1216160.0000000002</v>
      </c>
      <c r="P109" s="65"/>
    </row>
    <row r="110" spans="1:18" x14ac:dyDescent="0.2">
      <c r="B110" s="46"/>
      <c r="C110" s="60"/>
      <c r="J110" s="80"/>
      <c r="K110" s="80"/>
      <c r="L110" s="80"/>
      <c r="M110" s="80"/>
      <c r="N110" s="80"/>
      <c r="O110" s="80"/>
      <c r="P110" s="80"/>
      <c r="Q110" s="80"/>
      <c r="R110" s="80"/>
    </row>
    <row r="111" spans="1:18" s="39" customFormat="1" x14ac:dyDescent="0.2">
      <c r="A111" s="39" t="s">
        <v>179</v>
      </c>
    </row>
    <row r="112" spans="1:18"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Parameters'!$F$44="No",F114,I114)</f>
        <v>15.372855091930585</v>
      </c>
      <c r="D114" s="44">
        <f>IF('NG Parameters'!$F$44="No",G114,J114)</f>
        <v>553.42278330950103</v>
      </c>
      <c r="E114" s="44">
        <f>IF('NG Parameters'!$F$44="No",H114,K114)</f>
        <v>1337.4383929979608</v>
      </c>
      <c r="F114" s="148">
        <f>(C119+C120)/C122*C123/C121*10^12</f>
        <v>15.372855091930585</v>
      </c>
      <c r="G114" s="148">
        <f>F114*Conversions!$B$7</f>
        <v>553.42278330950103</v>
      </c>
      <c r="H114" s="148">
        <f>F114*Conversions!$B$6</f>
        <v>1337.4383929979608</v>
      </c>
      <c r="I114" s="148">
        <f>F114*(1+'NG Parameters'!$F$45/100)</f>
        <v>16.910140601123643</v>
      </c>
      <c r="J114" s="148">
        <f>G114*(1+'NG Parameters'!$F$45/100)</f>
        <v>608.76506164045122</v>
      </c>
      <c r="K114" s="148">
        <f>H114*(1+'NG Parameters'!$F$45/100)</f>
        <v>1471.1822322977571</v>
      </c>
    </row>
    <row r="115" spans="2:11" x14ac:dyDescent="0.2">
      <c r="B115" s="43" t="s">
        <v>50</v>
      </c>
      <c r="C115" s="44">
        <f>IF('NG Parameters'!$F$44="No",F115,I115)</f>
        <v>1.4573466627150195E-2</v>
      </c>
      <c r="D115" s="44">
        <f>IF('NG Parameters'!$F$44="No",G115,J115)</f>
        <v>0.52464479857740698</v>
      </c>
      <c r="E115" s="44">
        <f>IF('NG Parameters'!$F$44="No",H115,K115)</f>
        <v>1.267891596562067</v>
      </c>
      <c r="F115" s="148">
        <f>F114*Conversions!$B$8</f>
        <v>1.4573466627150195E-2</v>
      </c>
      <c r="G115" s="148">
        <f>F115*Conversions!$B$7</f>
        <v>0.52464479857740698</v>
      </c>
      <c r="H115" s="148">
        <f>F115*Conversions!$B$6</f>
        <v>1.267891596562067</v>
      </c>
      <c r="I115" s="148">
        <f>F115*(1+'NG Parameters'!$F$45/100)</f>
        <v>1.6030813289865217E-2</v>
      </c>
      <c r="J115" s="148">
        <f>G115*(1+'NG Parameters'!$F$45/100)</f>
        <v>0.5771092784351477</v>
      </c>
      <c r="K115" s="148">
        <f>H115*(1+'NG Parameters'!$F$45/100)</f>
        <v>1.3946807562182737</v>
      </c>
    </row>
    <row r="116" spans="2:11" x14ac:dyDescent="0.2">
      <c r="B116" s="43" t="s">
        <v>51</v>
      </c>
      <c r="C116" s="44">
        <f>IF('NG Parameters'!$F$44="No",F116,I116)</f>
        <v>0.10553758867941078</v>
      </c>
      <c r="D116" s="44">
        <f>IF('NG Parameters'!$F$44="No",G116,J116)</f>
        <v>3.799353192458788</v>
      </c>
      <c r="E116" s="44">
        <f>IF('NG Parameters'!$F$44="No",H116,K116)</f>
        <v>9.1817702151087381</v>
      </c>
      <c r="F116" s="148">
        <f>F114*C$118/10^6</f>
        <v>0.10553758867941078</v>
      </c>
      <c r="G116" s="148">
        <f>F116*Conversions!$B$7</f>
        <v>3.799353192458788</v>
      </c>
      <c r="H116" s="148">
        <f>F116*Conversions!$B$6</f>
        <v>9.1817702151087381</v>
      </c>
      <c r="I116" s="148">
        <f>F116*(1+'NG Parameters'!$F$45/100)</f>
        <v>0.11609134754735187</v>
      </c>
      <c r="J116" s="148">
        <f>G116*(1+'NG Parameters'!$F$45/100)</f>
        <v>4.1792885117046668</v>
      </c>
      <c r="K116" s="148">
        <f>H116*(1+'NG Parameters'!$F$45/100)</f>
        <v>10.099947236619613</v>
      </c>
    </row>
    <row r="117" spans="2:11" x14ac:dyDescent="0.2">
      <c r="B117" s="46"/>
      <c r="C117" s="47"/>
    </row>
    <row r="118" spans="2:11" ht="16" x14ac:dyDescent="0.2">
      <c r="B118" s="9" t="s">
        <v>44</v>
      </c>
      <c r="C118" s="104">
        <f>'NG Parameters'!F$42</f>
        <v>6865.1911468812878</v>
      </c>
      <c r="D118" s="5" t="s">
        <v>45</v>
      </c>
    </row>
    <row r="119" spans="2:11" x14ac:dyDescent="0.2">
      <c r="B119" s="48" t="s">
        <v>200</v>
      </c>
      <c r="C119" s="196">
        <f>'NG Parameters'!F12/100</f>
        <v>6.0299999999999995E-5</v>
      </c>
    </row>
    <row r="120" spans="2:11" x14ac:dyDescent="0.2">
      <c r="B120" s="48" t="s">
        <v>201</v>
      </c>
      <c r="C120" s="195">
        <f>'NG Parameters'!F15/100</f>
        <v>8.0399999999999981E-4</v>
      </c>
    </row>
    <row r="121" spans="2:11" x14ac:dyDescent="0.2">
      <c r="B121" s="27" t="s">
        <v>24</v>
      </c>
      <c r="C121" s="50">
        <f>'NG Parameters'!F43</f>
        <v>1037</v>
      </c>
      <c r="D121" s="5" t="s">
        <v>25</v>
      </c>
    </row>
    <row r="122" spans="2:11" ht="16" x14ac:dyDescent="0.2">
      <c r="B122" s="5" t="s">
        <v>100</v>
      </c>
      <c r="C122" s="103">
        <f>Conversions!B$2</f>
        <v>51505.644797356501</v>
      </c>
      <c r="D122" s="120" t="s">
        <v>101</v>
      </c>
    </row>
    <row r="123" spans="2:11" x14ac:dyDescent="0.2">
      <c r="B123" s="27" t="s">
        <v>36</v>
      </c>
      <c r="C123" s="51">
        <f>'NG Parameters'!F50/100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Parameters'!$F$10</f>
        <v>15</v>
      </c>
      <c r="D135" s="108">
        <f>'NG Parameters'!$F$10</f>
        <v>15</v>
      </c>
      <c r="E135" s="170" t="s">
        <v>321</v>
      </c>
    </row>
    <row r="136" spans="2:6" x14ac:dyDescent="0.2">
      <c r="B136" s="172" t="s">
        <v>338</v>
      </c>
      <c r="C136" s="83">
        <f>C134*C135</f>
        <v>3.7531707504426712E-5</v>
      </c>
      <c r="D136" s="83">
        <f>D134*D135</f>
        <v>5.4157802600912641E-5</v>
      </c>
    </row>
    <row r="137" spans="2:6" x14ac:dyDescent="0.2">
      <c r="B137" s="80" t="s">
        <v>22</v>
      </c>
      <c r="C137" s="122">
        <f>C136*C144/$C122*10^3*$C123</f>
        <v>2.1581790123456797E-2</v>
      </c>
      <c r="D137" s="122">
        <f>D136*D144/$C122*10^3*$C123</f>
        <v>2.6743827160493831E-2</v>
      </c>
    </row>
    <row r="138" spans="2:6" x14ac:dyDescent="0.2">
      <c r="B138" s="80"/>
      <c r="C138" s="87"/>
    </row>
    <row r="139" spans="2:6" x14ac:dyDescent="0.2">
      <c r="B139" s="80" t="s">
        <v>194</v>
      </c>
      <c r="C139" s="83">
        <f>C131/C133*C135</f>
        <v>3.1348199368121437E-5</v>
      </c>
      <c r="D139" s="83">
        <f>D131/D133*D135</f>
        <v>3.8846213446517304E-5</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0.66755698347596404</v>
      </c>
      <c r="D147" s="62">
        <f>D137/D145*10^12</f>
        <v>0.96327669961958984</v>
      </c>
    </row>
    <row r="148" spans="1:11" x14ac:dyDescent="0.2">
      <c r="B148" s="46" t="s">
        <v>46</v>
      </c>
      <c r="C148" s="56">
        <f>C147*C118/10^6</f>
        <v>4.5829062929979665E-3</v>
      </c>
      <c r="D148" s="56">
        <f>D147*C118/10^6</f>
        <v>6.6130786702254338E-3</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Parameters'!$F$44="No",F153,I153)</f>
        <v>122.68416537511776</v>
      </c>
      <c r="D153" s="68">
        <f>IF('NG Parameters'!$F$44="No",G153,J153)</f>
        <v>4416.629953504239</v>
      </c>
      <c r="E153" s="68">
        <f>IF('NG Parameters'!$F$44="No",H153,K153)</f>
        <v>10673.522387635245</v>
      </c>
      <c r="F153" s="148">
        <f>F155/'NG Parameters'!$F$42*10^6</f>
        <v>122.68416537511776</v>
      </c>
      <c r="G153" s="148">
        <f>F153*Conversions!$B$7</f>
        <v>4416.629953504239</v>
      </c>
      <c r="H153" s="148">
        <f>F153*Conversions!$B$6</f>
        <v>10673.522387635245</v>
      </c>
      <c r="I153" s="148">
        <f>F153*(1+'NG Parameters'!$F$45/100)</f>
        <v>134.95258191262954</v>
      </c>
      <c r="J153" s="148">
        <f>G153*(1+'NG Parameters'!$F$45/100)</f>
        <v>4858.2929488546633</v>
      </c>
      <c r="K153" s="148">
        <f>H153*(1+'NG Parameters'!$F$45/100)</f>
        <v>11740.87462639877</v>
      </c>
    </row>
    <row r="154" spans="1:11" x14ac:dyDescent="0.2">
      <c r="B154" s="43" t="s">
        <v>50</v>
      </c>
      <c r="C154" s="68">
        <f>IF('NG Parameters'!$F$44="No",F154,I154)</f>
        <v>0.11630458877561163</v>
      </c>
      <c r="D154" s="68">
        <f>IF('NG Parameters'!$F$44="No",G154,J154)</f>
        <v>4.1869651959220189</v>
      </c>
      <c r="E154" s="68">
        <f>IF('NG Parameters'!$F$44="No",H154,K154)</f>
        <v>10.118499223478212</v>
      </c>
      <c r="F154" s="148">
        <f>F153*Conversions!$B$8</f>
        <v>0.11630458877561163</v>
      </c>
      <c r="G154" s="148">
        <f>F154*Conversions!$B$7</f>
        <v>4.1869651959220189</v>
      </c>
      <c r="H154" s="148">
        <f>F154*Conversions!$B$6</f>
        <v>10.118499223478212</v>
      </c>
      <c r="I154" s="148">
        <f>F154*(1+'NG Parameters'!$F$45/100)</f>
        <v>0.12793504765317282</v>
      </c>
      <c r="J154" s="148">
        <f>G154*(1+'NG Parameters'!$F$45/100)</f>
        <v>4.6056617155142208</v>
      </c>
      <c r="K154" s="148">
        <f>H154*(1+'NG Parameters'!$F$45/100)</f>
        <v>11.130349145826035</v>
      </c>
    </row>
    <row r="155" spans="1:11" x14ac:dyDescent="0.2">
      <c r="B155" s="43" t="s">
        <v>51</v>
      </c>
      <c r="C155" s="68">
        <f>IF('NG Parameters'!$F$44="No",F155,I155)</f>
        <v>0.84225024599577814</v>
      </c>
      <c r="D155" s="68">
        <f>IF('NG Parameters'!$F$44="No",G155,J155)</f>
        <v>30.321008855848014</v>
      </c>
      <c r="E155" s="68">
        <f>IF('NG Parameters'!$F$44="No",H155,K155)</f>
        <v>73.275771401632696</v>
      </c>
      <c r="F155" s="148">
        <f>SUM(E166:E180,E186:E188,E193:E194)</f>
        <v>0.84225024599577814</v>
      </c>
      <c r="G155" s="148">
        <f>F155*Conversions!$B$7</f>
        <v>30.321008855848014</v>
      </c>
      <c r="H155" s="148">
        <f>F155*Conversions!$B$6</f>
        <v>73.275771401632696</v>
      </c>
      <c r="I155" s="148">
        <f>F155*(1+'NG Parameters'!$F$45/100)</f>
        <v>0.92647527059535606</v>
      </c>
      <c r="J155" s="148">
        <f>G155*(1+'NG Parameters'!$F$45/100)</f>
        <v>33.353109741432817</v>
      </c>
      <c r="K155" s="148">
        <f>H155*(1+'NG Parameters'!$F$45/100)</f>
        <v>80.603348541795967</v>
      </c>
    </row>
    <row r="156" spans="1:11" x14ac:dyDescent="0.2">
      <c r="B156" s="46"/>
      <c r="C156" s="69"/>
    </row>
    <row r="157" spans="1:11" x14ac:dyDescent="0.2">
      <c r="B157" s="5" t="s">
        <v>24</v>
      </c>
      <c r="C157" s="17">
        <f>'NG Parameters'!F$43</f>
        <v>1037</v>
      </c>
      <c r="D157" s="4" t="s">
        <v>102</v>
      </c>
    </row>
    <row r="158" spans="1:11" ht="16" x14ac:dyDescent="0.2">
      <c r="B158" s="5" t="s">
        <v>100</v>
      </c>
      <c r="C158" s="103">
        <f>Conversions!B$2</f>
        <v>51505.644797356501</v>
      </c>
      <c r="D158" s="21" t="s">
        <v>101</v>
      </c>
    </row>
    <row r="159" spans="1:11" ht="16" x14ac:dyDescent="0.2">
      <c r="B159" s="9" t="s">
        <v>44</v>
      </c>
      <c r="C159" s="104">
        <f>'NG Parameters'!F$42</f>
        <v>6865.1911468812878</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159">
        <f>'NG Parameters'!F21/100</f>
        <v>8.9999999999999998E-4</v>
      </c>
      <c r="E166" s="56">
        <f>C166*10^6/C$158*10^3/(C$157*10^6)*C$159*1000</f>
        <v>0.11568087324877417</v>
      </c>
      <c r="F166" s="59">
        <f>E166/'NG Parameters'!$F$42*10^6*0.000948</f>
        <v>1.5974131745720821E-2</v>
      </c>
      <c r="G166" s="87">
        <f>F166*Conversions!$B$7</f>
        <v>0.57506874284594955</v>
      </c>
    </row>
    <row r="167" spans="2:7" x14ac:dyDescent="0.2">
      <c r="B167" s="73" t="s">
        <v>95</v>
      </c>
      <c r="D167" s="56"/>
      <c r="E167" s="47">
        <f>(C174)/C$158*C175/(C$157/10^6)*C$159</f>
        <v>0.29267777574085924</v>
      </c>
      <c r="F167" s="59">
        <f>E167/'NG Parameters'!$F$42*10^6*0.000948</f>
        <v>4.0415266737092698E-2</v>
      </c>
      <c r="G167" s="87">
        <f>F167*Conversions!$B$7</f>
        <v>1.4549496025353372</v>
      </c>
    </row>
    <row r="168" spans="2:7" x14ac:dyDescent="0.2">
      <c r="B168" s="26" t="s">
        <v>13</v>
      </c>
      <c r="C168" s="74">
        <f>'NG Parameters'!F31/100</f>
        <v>1.5E-3</v>
      </c>
      <c r="D168" s="56"/>
      <c r="G168" s="59"/>
    </row>
    <row r="169" spans="2:7" x14ac:dyDescent="0.2">
      <c r="B169" s="26" t="s">
        <v>12</v>
      </c>
      <c r="C169" s="17">
        <f>'NG Parameters'!F27</f>
        <v>821</v>
      </c>
      <c r="D169" s="4" t="s">
        <v>105</v>
      </c>
      <c r="G169" s="59"/>
    </row>
    <row r="170" spans="2:7" x14ac:dyDescent="0.2">
      <c r="B170" s="26" t="s">
        <v>171</v>
      </c>
      <c r="C170" s="17">
        <f>'NG Parameters'!F28/2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Parameters'!F30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Parameters'!F26/100</f>
        <v>0.1</v>
      </c>
      <c r="G175" s="59"/>
    </row>
    <row r="176" spans="2:7" x14ac:dyDescent="0.2">
      <c r="B176" s="48"/>
      <c r="G176" s="59"/>
    </row>
    <row r="177" spans="1:7" x14ac:dyDescent="0.2">
      <c r="A177" s="2" t="s">
        <v>91</v>
      </c>
      <c r="B177" s="73" t="s">
        <v>96</v>
      </c>
      <c r="C177" s="159">
        <f>'NG Parameters'!F34/100</f>
        <v>8.9999999999999998E-4</v>
      </c>
      <c r="E177" s="56">
        <f>C177*10^6/C$158*10^3/(C$157*10^6)*C$159*1000</f>
        <v>0.11568087324877417</v>
      </c>
      <c r="F177" s="59">
        <f>E177/'NG Parameters'!$F$42*10^6*0.000948</f>
        <v>1.5974131745720821E-2</v>
      </c>
      <c r="G177" s="87">
        <f>F177*Conversions!$B$7</f>
        <v>0.57506874284594955</v>
      </c>
    </row>
    <row r="178" spans="1:7" x14ac:dyDescent="0.2">
      <c r="B178" s="76" t="s">
        <v>97</v>
      </c>
      <c r="C178" s="159">
        <f>'NG Parameters'!F39/100</f>
        <v>2.9999999999999997E-4</v>
      </c>
      <c r="E178" s="56">
        <f>C178*10^6/C$158*10^3/(C$157*10^6)*C$159*1000</f>
        <v>3.8560291082924712E-2</v>
      </c>
      <c r="F178" s="59">
        <f>E178/'NG Parameters'!$F$42*10^6*0.000948</f>
        <v>5.3247105819069383E-3</v>
      </c>
      <c r="G178" s="87">
        <f>F178*Conversions!$B$7</f>
        <v>0.19168958094864977</v>
      </c>
    </row>
    <row r="179" spans="1:7" x14ac:dyDescent="0.2">
      <c r="B179" s="76" t="s">
        <v>98</v>
      </c>
      <c r="C179" s="159">
        <f>'NG Parameters'!F40/100</f>
        <v>2.9999999999999997E-4</v>
      </c>
      <c r="E179" s="56">
        <f>C179*10^6/C$158*10^3/(C$157*10^6)*C$159*1000</f>
        <v>3.8560291082924712E-2</v>
      </c>
      <c r="F179" s="59">
        <f>E179/'NG Parameters'!$F$42*10^6*0.000948</f>
        <v>5.3247105819069383E-3</v>
      </c>
      <c r="G179" s="87">
        <f>F179*Conversions!$B$7</f>
        <v>0.19168958094864977</v>
      </c>
    </row>
    <row r="180" spans="1:7" x14ac:dyDescent="0.2">
      <c r="B180" s="76" t="s">
        <v>99</v>
      </c>
      <c r="C180" s="159">
        <f>'NG Parameters'!F41/100</f>
        <v>2.9999999999999997E-4</v>
      </c>
      <c r="E180" s="56">
        <f>C180*10^6/C$158*10^3/(C$157*10^6)*C$159*1000</f>
        <v>3.8560291082924712E-2</v>
      </c>
      <c r="F180" s="59">
        <f>E180/'NG Parameters'!$F$42*10^6*0.000948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87"/>
    </row>
    <row r="186" spans="1:7" s="80" customFormat="1" x14ac:dyDescent="0.2">
      <c r="B186" s="73" t="s">
        <v>94</v>
      </c>
      <c r="C186" s="160">
        <f>'NG Parameters'!F24/100</f>
        <v>9.300000000000001E-3</v>
      </c>
      <c r="D186" s="58">
        <f>'NG Parameters'!F22/100</f>
        <v>0.1</v>
      </c>
      <c r="E186" s="84">
        <f>D186*C186*10^6/C$158/C$157*C$159</f>
        <v>0.11953690235706665</v>
      </c>
      <c r="F186" s="59">
        <f>E186/'NG Parameters'!$F$42*10^6*0.000948</f>
        <v>1.6506602803911516E-2</v>
      </c>
      <c r="G186" s="87">
        <f>F186*Conversions!$B$7</f>
        <v>0.59423770094081463</v>
      </c>
    </row>
    <row r="187" spans="1:7" s="80" customFormat="1" x14ac:dyDescent="0.2">
      <c r="B187" s="85" t="s">
        <v>95</v>
      </c>
      <c r="C187" s="160">
        <f>'NG Parameters'!F32/100</f>
        <v>1.7000000000000001E-2</v>
      </c>
      <c r="D187" s="83"/>
      <c r="E187" s="86">
        <f>C187/C157*10^6/C$158*C$174*(1-C$175)*C$159</f>
        <v>4.4779699688351465E-2</v>
      </c>
      <c r="F187" s="59">
        <f>E187/'NG Parameters'!$F$42*10^6*0.000948</f>
        <v>6.1835358107751827E-3</v>
      </c>
      <c r="G187" s="87">
        <f>F187*Conversions!$B$7</f>
        <v>0.22260728918790657</v>
      </c>
    </row>
    <row r="188" spans="1:7" x14ac:dyDescent="0.2">
      <c r="B188" s="73" t="s">
        <v>96</v>
      </c>
      <c r="C188" s="160">
        <f>'NG Parameters'!F37/100</f>
        <v>9.300000000000001E-3</v>
      </c>
      <c r="D188" s="159">
        <f>'NG Parameters'!F35/100</f>
        <v>1.1000000000000001E-2</v>
      </c>
      <c r="E188" s="84">
        <f>D188*C188*10^6/C$158/C$157*C$159</f>
        <v>1.3149059259277332E-2</v>
      </c>
      <c r="F188" s="59">
        <f>E188/'NG Parameters'!$F$42*10^6*0.000948</f>
        <v>1.8157263084302667E-3</v>
      </c>
      <c r="G188" s="87">
        <f>F188*Conversions!$B$7</f>
        <v>6.5366147103489605E-2</v>
      </c>
    </row>
    <row r="189" spans="1:7" s="80" customFormat="1" x14ac:dyDescent="0.2">
      <c r="B189" s="55"/>
      <c r="C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Parameters'!F25/100</f>
        <v>0.05</v>
      </c>
      <c r="D193" s="204">
        <f>'NG Parameters'!$F$23/100</f>
        <v>3.0000000000000001E-3</v>
      </c>
      <c r="E193" s="84">
        <f>D193*C193*10^6/C$158/C$157*C$159</f>
        <v>1.928014554146236E-2</v>
      </c>
      <c r="F193" s="207">
        <f>E193/'NG Parameters'!$F$42*10^6*0.000948</f>
        <v>2.6623552909534696E-3</v>
      </c>
      <c r="G193" s="208">
        <f>F193*Conversions!$B$7</f>
        <v>9.5844790474324898E-2</v>
      </c>
    </row>
    <row r="194" spans="1:7" x14ac:dyDescent="0.2">
      <c r="B194" s="73" t="s">
        <v>96</v>
      </c>
      <c r="C194" s="203">
        <f>'NG Parameters'!F38/100</f>
        <v>0.05</v>
      </c>
      <c r="D194" s="204">
        <f>'NG Parameters'!$F$36/100</f>
        <v>8.9999999999999998E-4</v>
      </c>
      <c r="E194" s="84">
        <f>D194*C194*10^6/C$158/C$157*C$159</f>
        <v>5.7840436624387081E-3</v>
      </c>
      <c r="F194" s="207">
        <f>E194/'NG Parameters'!$F$42*10^6*0.000948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Parameters'!$F$44="No",D199,E199)</f>
        <v>307.54508320322157</v>
      </c>
      <c r="D199" s="148">
        <f>C215/C220*10^12</f>
        <v>307.54508320322157</v>
      </c>
      <c r="E199" s="148">
        <f>D199*(1+'NG Parameters'!$F$45/100)</f>
        <v>338.29959152354377</v>
      </c>
    </row>
    <row r="200" spans="1:7" x14ac:dyDescent="0.2">
      <c r="B200" s="43" t="s">
        <v>50</v>
      </c>
      <c r="C200" s="63">
        <f>IF('NG Parameters'!$F$44="No",D200,E200)</f>
        <v>0.29155273887665401</v>
      </c>
      <c r="D200" s="148">
        <f>D199*Conversions!$B$8</f>
        <v>0.29155273887665401</v>
      </c>
      <c r="E200" s="148">
        <f>D200*(1+'NG Parameters'!$F$45/100)</f>
        <v>0.32070801276431943</v>
      </c>
    </row>
    <row r="201" spans="1:7" x14ac:dyDescent="0.2">
      <c r="A201" s="2" t="s">
        <v>91</v>
      </c>
      <c r="B201" s="43" t="s">
        <v>51</v>
      </c>
      <c r="C201" s="63">
        <f>IF('NG Parameters'!$F$44="No",D201,E201)</f>
        <v>2.1113557824736255</v>
      </c>
      <c r="D201" s="148">
        <f>D199*C$203/10^6</f>
        <v>2.1113557824736255</v>
      </c>
      <c r="E201" s="148">
        <f>D201*(1+'NG Parameters'!$F$45/100)</f>
        <v>2.3224913607209885</v>
      </c>
    </row>
    <row r="203" spans="1:7" ht="16" x14ac:dyDescent="0.2">
      <c r="B203" s="9" t="s">
        <v>44</v>
      </c>
      <c r="C203" s="104">
        <f>'NG Parameters'!F$42</f>
        <v>6865.1911468812878</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Parameters'!$F50/100*44/16</f>
        <v>44.459823855473147</v>
      </c>
      <c r="E206" s="141"/>
    </row>
    <row r="207" spans="1:7" x14ac:dyDescent="0.2">
      <c r="B207" s="80" t="s">
        <v>23</v>
      </c>
      <c r="D207" s="87">
        <f>SUM(C205:D206)</f>
        <v>44.950622926269482</v>
      </c>
      <c r="E207" s="56"/>
      <c r="F207" s="87"/>
    </row>
    <row r="208" spans="1:7" x14ac:dyDescent="0.2">
      <c r="B208" s="80"/>
      <c r="C208" s="87"/>
      <c r="D208" s="2"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Parameters'!F19</f>
        <v>4.6245496837725802E-2</v>
      </c>
      <c r="D213" s="165" t="s">
        <v>342</v>
      </c>
    </row>
    <row r="214" spans="1:6" x14ac:dyDescent="0.2">
      <c r="B214" s="164" t="s">
        <v>344</v>
      </c>
      <c r="C214" s="17">
        <f>'NG Parameters'!F10+'NG Parameters'!F13</f>
        <v>215</v>
      </c>
      <c r="D214" s="170" t="s">
        <v>321</v>
      </c>
    </row>
    <row r="215" spans="1:6" x14ac:dyDescent="0.2">
      <c r="B215" s="172" t="s">
        <v>345</v>
      </c>
      <c r="C215" s="87">
        <f>C213*C$214</f>
        <v>9.9427818201110476</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Parameters'!$F$44="No",D225,E225)</f>
        <v>7504.3867861161152</v>
      </c>
      <c r="D225" s="148">
        <f>D227/'NG Parameters'!$F$42*10^6</f>
        <v>7504.3867861161152</v>
      </c>
      <c r="E225" s="148">
        <f>D225*(1+'NG Parameters'!$F$45/100)</f>
        <v>8254.8254647277281</v>
      </c>
    </row>
    <row r="226" spans="2:6" x14ac:dyDescent="0.2">
      <c r="B226" s="43" t="s">
        <v>50</v>
      </c>
      <c r="C226" s="68">
        <f>IF('NG Parameters'!$F$44="No",D226,E226)</f>
        <v>7.1141586732380766</v>
      </c>
      <c r="D226" s="148">
        <f>D225*Conversions!$B$8</f>
        <v>7.1141586732380766</v>
      </c>
      <c r="E226" s="148">
        <f>D226*(1+'NG Parameters'!$F$45/100)</f>
        <v>7.8255745405618846</v>
      </c>
    </row>
    <row r="227" spans="2:6" x14ac:dyDescent="0.2">
      <c r="B227" s="43" t="s">
        <v>51</v>
      </c>
      <c r="C227" s="68">
        <f>IF('NG Parameters'!$F$44="No",D227,E227)</f>
        <v>51.519049726817272</v>
      </c>
      <c r="D227" s="148">
        <f>SUM(E249:E250)+SUM(E236:E245)</f>
        <v>51.519049726817272</v>
      </c>
      <c r="E227" s="148">
        <f>D227*(1+'NG Parameters'!$F$45/100)</f>
        <v>56.670954699499006</v>
      </c>
    </row>
    <row r="228" spans="2:6" x14ac:dyDescent="0.2">
      <c r="B228" s="46"/>
      <c r="C228" s="69"/>
    </row>
    <row r="229" spans="2:6" ht="16" x14ac:dyDescent="0.2">
      <c r="B229" s="9" t="s">
        <v>44</v>
      </c>
      <c r="C229" s="104">
        <f>'NG Parameters'!F$42</f>
        <v>6865.1911468812878</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Parameters'!F22/100</f>
        <v>0.1</v>
      </c>
      <c r="E236" s="93">
        <f>C236*C$230/10^3*C$231*C$229</f>
        <v>36.323726358148889</v>
      </c>
      <c r="F236" s="133">
        <f>E236/'NG Parameters'!$F$42*10^6*0.000948</f>
        <v>5.0158679999999993</v>
      </c>
    </row>
    <row r="237" spans="2:6" s="66" customFormat="1" x14ac:dyDescent="0.2">
      <c r="B237" s="73" t="s">
        <v>95</v>
      </c>
      <c r="C237" s="92"/>
      <c r="E237" s="93">
        <f>C$241*C$243/(C$242*C$238/10^6*C$239*C$240*10^3)*C$229</f>
        <v>9.7830881413041997</v>
      </c>
      <c r="F237" s="133">
        <f>E237/'NG Parameters'!$F$42*10^6*0.000948</f>
        <v>1.3509263412380779</v>
      </c>
    </row>
    <row r="238" spans="2:6" s="66" customFormat="1" x14ac:dyDescent="0.2">
      <c r="B238" s="113" t="s">
        <v>24</v>
      </c>
      <c r="C238" s="17">
        <f>'NG Parameters'!F$43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Parameters'!F28</f>
        <v>20000</v>
      </c>
      <c r="D241" s="26" t="s">
        <v>64</v>
      </c>
      <c r="E241" s="2" t="s">
        <v>173</v>
      </c>
    </row>
    <row r="242" spans="1:6" s="66" customFormat="1" x14ac:dyDescent="0.2">
      <c r="B242" s="113" t="s">
        <v>121</v>
      </c>
      <c r="C242" s="17">
        <f>'NG Parameters'!F29</f>
        <v>260000</v>
      </c>
      <c r="D242" s="26" t="s">
        <v>122</v>
      </c>
      <c r="E242" s="93"/>
    </row>
    <row r="243" spans="1:6" s="66" customFormat="1" x14ac:dyDescent="0.2">
      <c r="B243" s="113" t="s">
        <v>85</v>
      </c>
      <c r="C243" s="17">
        <f>'NG Parameters'!F33</f>
        <v>407</v>
      </c>
      <c r="D243" s="26" t="s">
        <v>123</v>
      </c>
      <c r="E243" s="93"/>
    </row>
    <row r="244" spans="1:6" s="66" customFormat="1" x14ac:dyDescent="0.2">
      <c r="B244" s="73" t="s">
        <v>96</v>
      </c>
      <c r="C244" s="92">
        <f>'NG Parameters'!F35/100</f>
        <v>1.1000000000000001E-2</v>
      </c>
      <c r="E244" s="93">
        <f>C244*C$230/10^3*C$231*C$229</f>
        <v>3.9956098993963791</v>
      </c>
      <c r="F244" s="133">
        <f>E244/'NG Parameters'!$F$42*10^6*0.000948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94">
        <f>'NG Parameters'!$F$23/100</f>
        <v>3.0000000000000001E-3</v>
      </c>
      <c r="E249" s="93">
        <f>C249*C$230/10^3*C$231*C$229</f>
        <v>1.0897117907444667</v>
      </c>
      <c r="F249" s="87">
        <f>E249/'NG Parameters'!$F$42*10^6*0.000948</f>
        <v>0.15047603999999998</v>
      </c>
    </row>
    <row r="250" spans="1:6" s="80" customFormat="1" x14ac:dyDescent="0.2">
      <c r="B250" s="81" t="s">
        <v>96</v>
      </c>
      <c r="C250" s="94">
        <f>'NG Parameters'!$F$36/100</f>
        <v>8.9999999999999998E-4</v>
      </c>
      <c r="E250" s="93">
        <f>C250*C$230/10^3*C$231*C$229</f>
        <v>0.32691353722333999</v>
      </c>
      <c r="F250" s="87">
        <f>E250/'NG Parameters'!$F$42*10^6*0.000948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Parameters'!$F$44="No",D254,E254)</f>
        <v>52910</v>
      </c>
      <c r="D254" s="145">
        <f>C256/C$258*10^6</f>
        <v>52910</v>
      </c>
      <c r="E254" s="145">
        <f>D254*(1-'NG Parameters'!$F$46/100)*(1+'NG Parameters'!$F$45/100)</f>
        <v>5820.0999999999995</v>
      </c>
    </row>
    <row r="255" spans="1:6" x14ac:dyDescent="0.2">
      <c r="B255" s="43" t="s">
        <v>50</v>
      </c>
      <c r="C255" s="63">
        <f>IF('NG Parameters'!$F$44="No",D255,E255)</f>
        <v>50.158679999999997</v>
      </c>
      <c r="D255" s="145">
        <f>C254*Conversions!$B$8</f>
        <v>50.158679999999997</v>
      </c>
      <c r="E255" s="145">
        <f>D255*(1-'NG Parameters'!$F$46/100)*(1+'NG Parameters'!$F$45/100)</f>
        <v>5.5174547999999985</v>
      </c>
    </row>
    <row r="256" spans="1:6" x14ac:dyDescent="0.2">
      <c r="B256" s="43" t="s">
        <v>51</v>
      </c>
      <c r="C256" s="63">
        <f>IF('NG Parameters'!$F$44="No",D256,E256)</f>
        <v>363.23726358148895</v>
      </c>
      <c r="D256" s="145">
        <f>C258*C261/10^3</f>
        <v>363.23726358148895</v>
      </c>
      <c r="E256" s="145">
        <f>D256*(1-'NG Parameters'!$F$46/100)*(1+'NG Parameters'!$F$45/100)</f>
        <v>39.956098993963778</v>
      </c>
    </row>
    <row r="258" spans="1:5" x14ac:dyDescent="0.2">
      <c r="B258" s="2" t="s">
        <v>44</v>
      </c>
      <c r="C258" s="57">
        <f>'NG Parameters'!F$42</f>
        <v>6865.1911468812878</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7172D447-C240-9448-8E57-191CD7D5D297}"/>
    <hyperlink ref="E51" r:id="rId2" xr:uid="{1A3A45C7-C8EC-5945-BAC1-3A51C60C0784}"/>
    <hyperlink ref="E50" r:id="rId3" xr:uid="{DE13459A-3A24-7549-9565-1516B19FC5F1}"/>
    <hyperlink ref="F140" r:id="rId4" xr:uid="{484E3DCF-B54E-514B-BDAA-8739DD7BD974}"/>
    <hyperlink ref="F143" r:id="rId5" xr:uid="{3924EFBB-E57B-804B-8343-9D60642887F3}"/>
    <hyperlink ref="F142" r:id="rId6" xr:uid="{F6A4CDC0-EC24-AE46-99E1-6806E9BEC9D5}"/>
    <hyperlink ref="L26" r:id="rId7" xr:uid="{3919B76C-5214-9B41-A584-17445B6855F1}"/>
    <hyperlink ref="L27" r:id="rId8" xr:uid="{B7014970-9F89-6641-A679-F7ED1B089921}"/>
    <hyperlink ref="K26" r:id="rId9" xr:uid="{1C7B778E-B73B-8E42-A2F0-81B03D9CB9CD}"/>
    <hyperlink ref="U79" r:id="rId10" xr:uid="{0415218F-D348-4A4F-A8A9-042DCEA0AB91}"/>
    <hyperlink ref="U85" r:id="rId11" xr:uid="{8288177B-A783-7B48-AE1F-6784DF9451B3}"/>
  </hyperlink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F804-BD50-9641-A0DA-A65DE92535C1}">
  <sheetPr codeName="Sheet19"/>
  <dimension ref="A1:U262"/>
  <sheetViews>
    <sheetView topLeftCell="A246" workbookViewId="0">
      <selection activeCell="C277" sqref="C277"/>
    </sheetView>
  </sheetViews>
  <sheetFormatPr baseColWidth="10" defaultColWidth="31.83203125" defaultRowHeight="15" x14ac:dyDescent="0.2"/>
  <cols>
    <col min="1" max="1" width="21.5" style="2" customWidth="1"/>
    <col min="2" max="2" width="41.5" style="2" bestFit="1" customWidth="1"/>
    <col min="3" max="3" width="33.6640625" style="2" customWidth="1"/>
    <col min="4" max="4" width="24.6640625" style="2" customWidth="1"/>
    <col min="5" max="5" width="31.83203125" style="2"/>
    <col min="6" max="6" width="14.1640625" style="2" customWidth="1"/>
    <col min="7" max="8" width="18.6640625" style="2" customWidth="1"/>
    <col min="9" max="9" width="19.6640625" style="2" customWidth="1"/>
    <col min="10" max="10" width="12.6640625" style="2" bestFit="1" customWidth="1"/>
    <col min="11" max="11" width="11.6640625" style="2" bestFit="1" customWidth="1"/>
    <col min="12" max="16384" width="31.83203125" style="2"/>
  </cols>
  <sheetData>
    <row r="1" spans="1:11" s="39" customFormat="1" x14ac:dyDescent="0.2">
      <c r="A1" s="39" t="s">
        <v>72</v>
      </c>
    </row>
    <row r="2" spans="1:11" x14ac:dyDescent="0.2">
      <c r="B2" s="40" t="s">
        <v>42</v>
      </c>
      <c r="C2" s="41"/>
      <c r="D2" s="41"/>
      <c r="E2" s="41"/>
      <c r="F2" s="146" t="s">
        <v>228</v>
      </c>
      <c r="G2" s="146"/>
      <c r="H2" s="146"/>
      <c r="I2" s="146" t="s">
        <v>225</v>
      </c>
      <c r="J2" s="146"/>
      <c r="K2" s="146"/>
    </row>
    <row r="3" spans="1:11" x14ac:dyDescent="0.2">
      <c r="B3" s="41"/>
      <c r="C3" s="40" t="s">
        <v>48</v>
      </c>
      <c r="D3" s="42" t="s">
        <v>52</v>
      </c>
      <c r="E3" s="42" t="s">
        <v>53</v>
      </c>
      <c r="F3" s="147" t="s">
        <v>48</v>
      </c>
      <c r="G3" s="144" t="s">
        <v>52</v>
      </c>
      <c r="H3" s="144" t="s">
        <v>53</v>
      </c>
      <c r="I3" s="147" t="s">
        <v>48</v>
      </c>
      <c r="J3" s="144" t="s">
        <v>52</v>
      </c>
      <c r="K3" s="144" t="s">
        <v>53</v>
      </c>
    </row>
    <row r="4" spans="1:11" x14ac:dyDescent="0.2">
      <c r="B4" s="43" t="s">
        <v>49</v>
      </c>
      <c r="C4" s="45">
        <f>IF('NG Parameters'!$G$44="No",F4,I4)</f>
        <v>142.17663694263931</v>
      </c>
      <c r="D4" s="45">
        <f>IF('NG Parameters'!$G$44="No",G4,J4)</f>
        <v>5118.3589299350151</v>
      </c>
      <c r="E4" s="45">
        <f>IF('NG Parameters'!$G$44="No",H4,K4)</f>
        <v>12369.367414009619</v>
      </c>
      <c r="F4" s="148">
        <f>C9/C11*C12/C10*10^12</f>
        <v>142.17663694263931</v>
      </c>
      <c r="G4" s="148">
        <f>F4*Conversions!$B$7</f>
        <v>5118.3589299350151</v>
      </c>
      <c r="H4" s="148">
        <f>F4*Conversions!$B$6</f>
        <v>12369.367414009619</v>
      </c>
      <c r="I4" s="148">
        <f>F4*(1+'NG Parameters'!$G$45/100)</f>
        <v>156.39430063690324</v>
      </c>
      <c r="J4" s="148">
        <f>G4*(1+'NG Parameters'!$G$45/100)</f>
        <v>5630.1948229285172</v>
      </c>
      <c r="K4" s="148">
        <f>H4*(1+'NG Parameters'!$G$45/100)</f>
        <v>13606.304155410582</v>
      </c>
    </row>
    <row r="5" spans="1:11" x14ac:dyDescent="0.2">
      <c r="B5" s="43" t="s">
        <v>50</v>
      </c>
      <c r="C5" s="45">
        <f>IF('NG Parameters'!$G$44="No",F5,I5)</f>
        <v>0.13478345182162205</v>
      </c>
      <c r="D5" s="45">
        <f>IF('NG Parameters'!$G$44="No",G5,J5)</f>
        <v>4.8522042655783935</v>
      </c>
      <c r="E5" s="45">
        <f>IF('NG Parameters'!$G$44="No",H5,K5)</f>
        <v>11.726160308481118</v>
      </c>
      <c r="F5" s="148">
        <f>F4*Conversions!$B$8</f>
        <v>0.13478345182162205</v>
      </c>
      <c r="G5" s="148">
        <f>F5*Conversions!$B$7</f>
        <v>4.8522042655783935</v>
      </c>
      <c r="H5" s="148">
        <f>F5*Conversions!$B$6</f>
        <v>11.726160308481118</v>
      </c>
      <c r="I5" s="148">
        <f>F5*(1+'NG Parameters'!$G$45/100)</f>
        <v>0.14826179700378425</v>
      </c>
      <c r="J5" s="148">
        <f>G5*(1+'NG Parameters'!$G$45/100)</f>
        <v>5.3374246921362332</v>
      </c>
      <c r="K5" s="148">
        <f>H5*(1+'NG Parameters'!$G$45/100)</f>
        <v>12.898776339329231</v>
      </c>
    </row>
    <row r="6" spans="1:11" x14ac:dyDescent="0.2">
      <c r="B6" s="43" t="s">
        <v>51</v>
      </c>
      <c r="C6" s="45">
        <f>IF('NG Parameters'!$G$44="No",F6,I6)</f>
        <v>0.97606978923196241</v>
      </c>
      <c r="D6" s="45">
        <f>IF('NG Parameters'!$G$44="No",G6,J6)</f>
        <v>35.13851241235065</v>
      </c>
      <c r="E6" s="45">
        <f>IF('NG Parameters'!$G$44="No",H6,K6)</f>
        <v>84.918071663180726</v>
      </c>
      <c r="F6" s="148">
        <f>F4*C$8/10^6</f>
        <v>0.97606978923196241</v>
      </c>
      <c r="G6" s="148">
        <f>F6*Conversions!$B$7</f>
        <v>35.13851241235065</v>
      </c>
      <c r="H6" s="148">
        <f>F6*Conversions!$B$6</f>
        <v>84.918071663180726</v>
      </c>
      <c r="I6" s="148">
        <f>F6*(1+'NG Parameters'!$G$45/100)</f>
        <v>1.0736767681551587</v>
      </c>
      <c r="J6" s="148">
        <f>G6*(1+'NG Parameters'!$G$45/100)</f>
        <v>38.652363653585716</v>
      </c>
      <c r="K6" s="148">
        <f>H6*(1+'NG Parameters'!$G$45/100)</f>
        <v>93.409878829498808</v>
      </c>
    </row>
    <row r="7" spans="1:11" x14ac:dyDescent="0.2">
      <c r="B7" s="46"/>
      <c r="C7" s="47"/>
    </row>
    <row r="8" spans="1:11" ht="16" x14ac:dyDescent="0.2">
      <c r="B8" s="9" t="s">
        <v>44</v>
      </c>
      <c r="C8" s="104">
        <f>'NG Parameters'!$G$42</f>
        <v>6865.1911468812878</v>
      </c>
      <c r="D8" s="26" t="s">
        <v>45</v>
      </c>
    </row>
    <row r="9" spans="1:11" x14ac:dyDescent="0.2">
      <c r="B9" s="27" t="s">
        <v>218</v>
      </c>
      <c r="C9" s="158">
        <f>'NG Parameters'!$G4/100</f>
        <v>7.9935227760018473E-3</v>
      </c>
      <c r="D9" s="27"/>
    </row>
    <row r="10" spans="1:11" x14ac:dyDescent="0.2">
      <c r="B10" s="27" t="s">
        <v>24</v>
      </c>
      <c r="C10" s="50">
        <f>'NG Parameters'!$G$43</f>
        <v>1037</v>
      </c>
      <c r="D10" s="26" t="s">
        <v>25</v>
      </c>
    </row>
    <row r="11" spans="1:11" ht="16" x14ac:dyDescent="0.2">
      <c r="B11" s="5" t="s">
        <v>100</v>
      </c>
      <c r="C11" s="103">
        <f>Conversions!B$2</f>
        <v>51505.644797356501</v>
      </c>
      <c r="D11" s="120" t="s">
        <v>101</v>
      </c>
    </row>
    <row r="12" spans="1:11" x14ac:dyDescent="0.2">
      <c r="B12" s="27" t="s">
        <v>224</v>
      </c>
      <c r="C12" s="51">
        <f>'NG Parameters'!$G52/100</f>
        <v>0.95</v>
      </c>
      <c r="D12" s="27"/>
    </row>
    <row r="13" spans="1:11" x14ac:dyDescent="0.2">
      <c r="B13" s="25"/>
      <c r="C13" s="52"/>
      <c r="D13" s="22"/>
    </row>
    <row r="14" spans="1:11" ht="16" x14ac:dyDescent="0.2">
      <c r="B14" s="27" t="s">
        <v>186</v>
      </c>
      <c r="C14" s="52"/>
      <c r="D14" s="22"/>
      <c r="G14" s="165" t="s">
        <v>396</v>
      </c>
      <c r="H14" s="230" t="s">
        <v>397</v>
      </c>
    </row>
    <row r="15" spans="1:11" x14ac:dyDescent="0.2">
      <c r="C15" s="53" t="s">
        <v>21</v>
      </c>
      <c r="D15" s="53" t="s">
        <v>18</v>
      </c>
      <c r="F15" s="80"/>
      <c r="G15" s="165" t="s">
        <v>278</v>
      </c>
      <c r="H15" s="165" t="s">
        <v>389</v>
      </c>
      <c r="I15" s="165" t="s">
        <v>279</v>
      </c>
    </row>
    <row r="16" spans="1:11" x14ac:dyDescent="0.2">
      <c r="B16" s="80" t="s">
        <v>22</v>
      </c>
      <c r="C16" s="80"/>
      <c r="D16" s="229" t="s">
        <v>389</v>
      </c>
      <c r="E16" s="3" t="s">
        <v>166</v>
      </c>
      <c r="F16" s="165" t="s">
        <v>304</v>
      </c>
    </row>
    <row r="17" spans="2:13" x14ac:dyDescent="0.2">
      <c r="B17" s="55" t="s">
        <v>39</v>
      </c>
      <c r="C17" s="47">
        <f>SUM(C18:C19)*E17*F17</f>
        <v>5.5899592361238114E-2</v>
      </c>
      <c r="D17" s="226">
        <f>HLOOKUP(D16,G15:I21,3,FALSE)*E17*F17</f>
        <v>0.12869848060690531</v>
      </c>
      <c r="E17" s="119">
        <f>'NG Parameters'!G$5/100</f>
        <v>0.6</v>
      </c>
      <c r="F17" s="197">
        <f>J31</f>
        <v>2.8223351010286255E-2</v>
      </c>
      <c r="G17" s="2">
        <v>6</v>
      </c>
      <c r="H17" s="2">
        <v>7.6</v>
      </c>
      <c r="I17" s="165">
        <v>9.6</v>
      </c>
    </row>
    <row r="18" spans="2:13" x14ac:dyDescent="0.2">
      <c r="B18" s="55" t="s">
        <v>7</v>
      </c>
      <c r="C18" s="226">
        <v>1.891548</v>
      </c>
      <c r="D18" s="226"/>
      <c r="E18" s="118"/>
      <c r="H18" s="165"/>
      <c r="I18" s="62"/>
    </row>
    <row r="19" spans="2:13" x14ac:dyDescent="0.2">
      <c r="B19" s="55" t="s">
        <v>4</v>
      </c>
      <c r="C19" s="226">
        <v>1.4094770000000001</v>
      </c>
      <c r="D19" s="226"/>
      <c r="E19" s="139"/>
      <c r="I19" s="62"/>
    </row>
    <row r="20" spans="2:13" x14ac:dyDescent="0.2">
      <c r="B20" s="55" t="s">
        <v>19</v>
      </c>
      <c r="C20" s="226">
        <v>1.390566</v>
      </c>
      <c r="D20" s="226">
        <f>HLOOKUP(D16,G15:I21,6,FALSE)</f>
        <v>2.6</v>
      </c>
      <c r="E20" s="3"/>
      <c r="F20" s="139"/>
      <c r="G20" s="2">
        <v>2.4</v>
      </c>
      <c r="H20" s="165">
        <v>2.6</v>
      </c>
      <c r="I20" s="62">
        <v>3.2</v>
      </c>
    </row>
    <row r="21" spans="2:13" x14ac:dyDescent="0.2">
      <c r="B21" s="55" t="s">
        <v>20</v>
      </c>
      <c r="C21" s="47">
        <v>0.48785400000000001</v>
      </c>
      <c r="D21" s="226">
        <f>HLOOKUP(D16,G15:I21,7,FALSE)</f>
        <v>0.72</v>
      </c>
      <c r="G21" s="56">
        <v>0.65</v>
      </c>
      <c r="H21" s="47">
        <v>0.72</v>
      </c>
      <c r="I21" s="56">
        <v>0.92</v>
      </c>
    </row>
    <row r="22" spans="2:13" x14ac:dyDescent="0.2">
      <c r="B22" s="55" t="s">
        <v>23</v>
      </c>
      <c r="C22" s="47">
        <f>SUM(C17,C20:C21)</f>
        <v>1.9343195923612382</v>
      </c>
      <c r="D22" s="226">
        <f>SUM(D17,D20:D21)</f>
        <v>3.4486984806069056</v>
      </c>
      <c r="G22" s="226">
        <f>SUM(G17,G20:G21)</f>
        <v>9.0500000000000007</v>
      </c>
      <c r="H22" s="226">
        <f t="shared" ref="H22:I22" si="0">SUM(H17,H20:H21)</f>
        <v>10.92</v>
      </c>
      <c r="I22" s="226">
        <f t="shared" si="0"/>
        <v>13.72</v>
      </c>
    </row>
    <row r="23" spans="2:13" x14ac:dyDescent="0.2">
      <c r="B23" s="55"/>
      <c r="C23" s="47"/>
      <c r="D23" s="47"/>
    </row>
    <row r="24" spans="2:13" x14ac:dyDescent="0.2">
      <c r="B24" s="80" t="s">
        <v>38</v>
      </c>
      <c r="C24" s="80"/>
      <c r="D24" s="80"/>
      <c r="E24" s="118" t="s">
        <v>167</v>
      </c>
    </row>
    <row r="25" spans="2:13" x14ac:dyDescent="0.2">
      <c r="B25" s="55" t="s">
        <v>39</v>
      </c>
      <c r="C25" s="47">
        <f>C17*C$11/10^3/E25</f>
        <v>3.4688488535842805</v>
      </c>
      <c r="D25" s="47">
        <f>D17*C$11/10^3/E25</f>
        <v>7.986383407347879</v>
      </c>
      <c r="E25" s="119">
        <f>'NG Parameters'!$G47/100</f>
        <v>0.83</v>
      </c>
      <c r="H25" s="165" t="s">
        <v>286</v>
      </c>
      <c r="I25" s="165" t="s">
        <v>287</v>
      </c>
      <c r="J25" s="165" t="s">
        <v>285</v>
      </c>
    </row>
    <row r="26" spans="2:13" ht="16" x14ac:dyDescent="0.2">
      <c r="B26" s="55" t="s">
        <v>7</v>
      </c>
      <c r="C26" s="47"/>
      <c r="D26" s="122"/>
      <c r="E26" s="119">
        <f>'NG Parameters'!$G47/100</f>
        <v>0.83</v>
      </c>
      <c r="G26" s="165" t="s">
        <v>301</v>
      </c>
      <c r="H26" s="62">
        <v>477513</v>
      </c>
      <c r="I26" s="62">
        <v>425</v>
      </c>
      <c r="J26" s="62">
        <v>7438</v>
      </c>
      <c r="K26" s="174" t="s">
        <v>302</v>
      </c>
      <c r="L26" s="174" t="s">
        <v>300</v>
      </c>
    </row>
    <row r="27" spans="2:13" ht="16" x14ac:dyDescent="0.2">
      <c r="B27" s="55" t="s">
        <v>4</v>
      </c>
      <c r="C27" s="47"/>
      <c r="D27" s="122"/>
      <c r="E27" s="119">
        <f>'NG Parameters'!$G48/100</f>
        <v>0.83</v>
      </c>
      <c r="G27" s="165" t="s">
        <v>58</v>
      </c>
      <c r="H27" s="62">
        <v>32000000</v>
      </c>
      <c r="I27" s="62">
        <v>5843000</v>
      </c>
      <c r="J27" s="62">
        <f>L31</f>
        <v>17660881.469999999</v>
      </c>
      <c r="K27" s="165" t="s">
        <v>215</v>
      </c>
      <c r="L27" s="174" t="s">
        <v>298</v>
      </c>
    </row>
    <row r="28" spans="2:13" x14ac:dyDescent="0.2">
      <c r="B28" s="55" t="s">
        <v>19</v>
      </c>
      <c r="C28" s="47">
        <f>C20*C$11/10^3/E28</f>
        <v>86.291564413591374</v>
      </c>
      <c r="D28" s="47">
        <f>D20*C$11/10^3/E28</f>
        <v>161.34298370256255</v>
      </c>
      <c r="E28" s="119">
        <f>'NG Parameters'!$G47/100</f>
        <v>0.83</v>
      </c>
      <c r="H28" s="62"/>
      <c r="I28" s="62"/>
      <c r="J28" s="62"/>
    </row>
    <row r="29" spans="2:13" x14ac:dyDescent="0.2">
      <c r="B29" s="55" t="s">
        <v>20</v>
      </c>
      <c r="C29" s="47">
        <f>C21*C$11/10^3/E29</f>
        <v>30.273776912011517</v>
      </c>
      <c r="D29" s="47">
        <f>D21*C$11/10^3/E29</f>
        <v>44.679595486863477</v>
      </c>
      <c r="E29" s="119">
        <f>'NG Parameters'!$G49/100</f>
        <v>0.83</v>
      </c>
      <c r="G29" s="165" t="s">
        <v>299</v>
      </c>
      <c r="H29" s="62">
        <f>H27/H26</f>
        <v>67.013882344564436</v>
      </c>
      <c r="I29" s="62">
        <f>I27/I26</f>
        <v>13748.235294117647</v>
      </c>
      <c r="J29" s="62">
        <f>J27/J26</f>
        <v>2374.4126741059422</v>
      </c>
      <c r="L29" s="62">
        <f>500.1</f>
        <v>500.1</v>
      </c>
      <c r="M29" s="165" t="s">
        <v>289</v>
      </c>
    </row>
    <row r="30" spans="2:13" x14ac:dyDescent="0.2">
      <c r="B30" s="55" t="s">
        <v>23</v>
      </c>
      <c r="C30" s="47">
        <f>SUM(C25:C29)</f>
        <v>120.03419017918716</v>
      </c>
      <c r="D30" s="47">
        <f>SUM(D25:D29)</f>
        <v>214.00896259677393</v>
      </c>
      <c r="G30" s="165" t="s">
        <v>353</v>
      </c>
      <c r="H30" s="62"/>
      <c r="I30" s="62">
        <f>I29/H29</f>
        <v>205.15503375</v>
      </c>
      <c r="J30" s="62">
        <f>J29/H29</f>
        <v>35.431653726573465</v>
      </c>
      <c r="L30" s="62">
        <f>L29*35.3147</f>
        <v>17660.88147</v>
      </c>
      <c r="M30" s="165" t="s">
        <v>81</v>
      </c>
    </row>
    <row r="31" spans="2:13" x14ac:dyDescent="0.2">
      <c r="B31" s="80"/>
      <c r="C31" s="47"/>
      <c r="D31" s="47"/>
      <c r="G31" s="165"/>
      <c r="H31" s="62"/>
      <c r="I31" s="62"/>
      <c r="J31" s="231">
        <f>1/J30</f>
        <v>2.8223351010286255E-2</v>
      </c>
      <c r="L31" s="62">
        <f>L30*10^3</f>
        <v>17660881.469999999</v>
      </c>
      <c r="M31" s="165" t="s">
        <v>215</v>
      </c>
    </row>
    <row r="32" spans="2:13" x14ac:dyDescent="0.2">
      <c r="B32" s="55" t="s">
        <v>192</v>
      </c>
      <c r="C32" s="65"/>
      <c r="D32" s="65"/>
    </row>
    <row r="33" spans="2:15" x14ac:dyDescent="0.2">
      <c r="B33" s="55" t="s">
        <v>39</v>
      </c>
      <c r="C33" s="83">
        <f>C25/$C$52</f>
        <v>1.112666498626373E-4</v>
      </c>
      <c r="D33" s="83">
        <f>D25/$D$52</f>
        <v>2.9830216870310109E-4</v>
      </c>
    </row>
    <row r="34" spans="2:15" x14ac:dyDescent="0.2">
      <c r="B34" s="55" t="s">
        <v>7</v>
      </c>
      <c r="C34" s="83"/>
      <c r="D34" s="83"/>
    </row>
    <row r="35" spans="2:15" x14ac:dyDescent="0.2">
      <c r="B35" s="55" t="s">
        <v>4</v>
      </c>
      <c r="C35" s="83"/>
      <c r="D35" s="83"/>
    </row>
    <row r="36" spans="2:15" x14ac:dyDescent="0.2">
      <c r="B36" s="55" t="s">
        <v>19</v>
      </c>
      <c r="C36" s="83">
        <f>C28/$C$52</f>
        <v>2.7678845890864944E-3</v>
      </c>
      <c r="D36" s="83">
        <f>D28/$D$52</f>
        <v>6.0263775840291378E-3</v>
      </c>
    </row>
    <row r="37" spans="2:15" x14ac:dyDescent="0.2">
      <c r="B37" s="55" t="s">
        <v>20</v>
      </c>
      <c r="C37" s="83">
        <f>C29/$C$52</f>
        <v>9.7106039434604523E-4</v>
      </c>
      <c r="D37" s="83">
        <f>D29/$D$52</f>
        <v>1.6688430232696075E-3</v>
      </c>
    </row>
    <row r="38" spans="2:15" x14ac:dyDescent="0.2">
      <c r="B38" s="55" t="s">
        <v>23</v>
      </c>
      <c r="C38" s="83">
        <f>C30/$C$52</f>
        <v>3.8502116332951768E-3</v>
      </c>
      <c r="D38" s="83">
        <f>D30/$D$52</f>
        <v>7.9935227760018473E-3</v>
      </c>
    </row>
    <row r="40" spans="2:15" x14ac:dyDescent="0.2">
      <c r="B40" s="55" t="s">
        <v>193</v>
      </c>
      <c r="C40" s="65"/>
      <c r="D40" s="65"/>
    </row>
    <row r="41" spans="2:15" x14ac:dyDescent="0.2">
      <c r="B41" s="55" t="s">
        <v>39</v>
      </c>
      <c r="C41" s="83">
        <f>C25/$C$48</f>
        <v>9.2934996962382266E-5</v>
      </c>
      <c r="D41" s="83">
        <f>D25/$D$48</f>
        <v>2.4263919364980215E-4</v>
      </c>
    </row>
    <row r="42" spans="2:15" x14ac:dyDescent="0.2">
      <c r="B42" s="55" t="s">
        <v>7</v>
      </c>
      <c r="C42" s="83"/>
      <c r="D42" s="83"/>
    </row>
    <row r="43" spans="2:15" x14ac:dyDescent="0.2">
      <c r="B43" s="55" t="s">
        <v>4</v>
      </c>
      <c r="C43" s="83"/>
      <c r="D43" s="83"/>
    </row>
    <row r="44" spans="2:15" x14ac:dyDescent="0.2">
      <c r="B44" s="55" t="s">
        <v>19</v>
      </c>
      <c r="C44" s="83">
        <f t="shared" ref="C44:C45" si="1">C28/$C$48</f>
        <v>2.3118638531540395E-3</v>
      </c>
      <c r="D44" s="83">
        <f t="shared" ref="D44:D45" si="2">D28/$D$48</f>
        <v>4.9018597617821198E-3</v>
      </c>
    </row>
    <row r="45" spans="2:15" x14ac:dyDescent="0.2">
      <c r="B45" s="55" t="s">
        <v>20</v>
      </c>
      <c r="C45" s="83">
        <f t="shared" si="1"/>
        <v>8.1107407215235447E-4</v>
      </c>
      <c r="D45" s="83">
        <f t="shared" si="2"/>
        <v>1.3574380878781254E-3</v>
      </c>
    </row>
    <row r="46" spans="2:15" x14ac:dyDescent="0.2">
      <c r="B46" s="55" t="s">
        <v>23</v>
      </c>
      <c r="C46" s="83">
        <f>C30/$C$48</f>
        <v>3.2158729222687764E-3</v>
      </c>
      <c r="D46" s="83">
        <f>D30/$D$48</f>
        <v>6.5019370433100484E-3</v>
      </c>
      <c r="E46" s="131">
        <v>2.75E-2</v>
      </c>
      <c r="O46" s="165"/>
    </row>
    <row r="47" spans="2:15" x14ac:dyDescent="0.2">
      <c r="B47" s="55"/>
      <c r="C47" s="83"/>
      <c r="D47" s="83"/>
      <c r="O47" s="165"/>
    </row>
    <row r="48" spans="2:15" x14ac:dyDescent="0.2">
      <c r="B48" s="46" t="s">
        <v>29</v>
      </c>
      <c r="C48" s="60">
        <v>37325.538999999997</v>
      </c>
      <c r="D48" s="60">
        <v>32914.646999999997</v>
      </c>
      <c r="E48" s="61" t="s">
        <v>32</v>
      </c>
    </row>
    <row r="50" spans="1:5" x14ac:dyDescent="0.2">
      <c r="B50" s="46" t="s">
        <v>26</v>
      </c>
      <c r="C50" s="62">
        <v>27568.156999999999</v>
      </c>
      <c r="D50" s="60">
        <v>24989.285</v>
      </c>
      <c r="E50" s="61" t="s">
        <v>30</v>
      </c>
    </row>
    <row r="51" spans="1:5" x14ac:dyDescent="0.2">
      <c r="B51" s="46" t="s">
        <v>27</v>
      </c>
      <c r="C51" s="62">
        <v>3607.8409999999999</v>
      </c>
      <c r="D51" s="62">
        <v>1783.5119999999999</v>
      </c>
      <c r="E51" s="61" t="s">
        <v>31</v>
      </c>
    </row>
    <row r="52" spans="1:5" x14ac:dyDescent="0.2">
      <c r="B52" s="46" t="s">
        <v>28</v>
      </c>
      <c r="C52" s="62">
        <v>31175.998</v>
      </c>
      <c r="D52" s="62">
        <v>26772.796999999999</v>
      </c>
    </row>
    <row r="53" spans="1:5" x14ac:dyDescent="0.2">
      <c r="B53" s="46" t="s">
        <v>205</v>
      </c>
      <c r="C53" s="136">
        <f>C52/C48</f>
        <v>0.83524575492399455</v>
      </c>
      <c r="D53" s="136">
        <f>D52/D48</f>
        <v>0.81340070273273779</v>
      </c>
    </row>
    <row r="54" spans="1:5" x14ac:dyDescent="0.2">
      <c r="B54" s="46" t="s">
        <v>41</v>
      </c>
      <c r="C54" s="60">
        <f>C52*C10*10^3</f>
        <v>32329509926</v>
      </c>
      <c r="D54" s="60">
        <f>D52*C10*10^3</f>
        <v>27763390489</v>
      </c>
    </row>
    <row r="55" spans="1:5" x14ac:dyDescent="0.2">
      <c r="C55" s="60"/>
      <c r="D55" s="60"/>
    </row>
    <row r="56" spans="1:5" x14ac:dyDescent="0.2">
      <c r="B56" s="46" t="s">
        <v>47</v>
      </c>
      <c r="C56" s="62">
        <f>C22/C54*10^12</f>
        <v>59.83139233439546</v>
      </c>
      <c r="D56" s="62">
        <f>D22/D54*10^12</f>
        <v>124.21748280251643</v>
      </c>
    </row>
    <row r="57" spans="1:5" x14ac:dyDescent="0.2">
      <c r="B57" s="46"/>
      <c r="C57" s="62"/>
      <c r="D57" s="62"/>
    </row>
    <row r="58" spans="1:5" x14ac:dyDescent="0.2">
      <c r="B58" s="46" t="s">
        <v>46</v>
      </c>
      <c r="C58" s="56">
        <f>C56*C8/10^6</f>
        <v>0.41075394495967266</v>
      </c>
      <c r="D58" s="56">
        <f>D56*C8/10^6</f>
        <v>0.85277676322371443</v>
      </c>
    </row>
    <row r="60" spans="1:5" s="39" customFormat="1" x14ac:dyDescent="0.2">
      <c r="A60" s="39" t="s">
        <v>73</v>
      </c>
    </row>
    <row r="61" spans="1:5" x14ac:dyDescent="0.2">
      <c r="B61" s="40" t="s">
        <v>42</v>
      </c>
      <c r="C61" s="41"/>
      <c r="D61" s="146"/>
      <c r="E61" s="146"/>
    </row>
    <row r="62" spans="1:5" x14ac:dyDescent="0.2">
      <c r="B62" s="41"/>
      <c r="C62" s="40" t="s">
        <v>71</v>
      </c>
      <c r="D62" s="144" t="s">
        <v>228</v>
      </c>
      <c r="E62" s="144" t="s">
        <v>225</v>
      </c>
    </row>
    <row r="63" spans="1:5" x14ac:dyDescent="0.2">
      <c r="B63" s="43" t="s">
        <v>49</v>
      </c>
      <c r="C63" s="63">
        <f>IF('NG Parameters'!$G$44="No",D63,E63)</f>
        <v>7219.9311202603076</v>
      </c>
      <c r="D63" s="148">
        <f>SUM(C75:C77)/C82*10^12</f>
        <v>7219.9311202603076</v>
      </c>
      <c r="E63" s="148">
        <f>D63*(1+'NG Parameters'!$G$45/100)</f>
        <v>7941.9242322863392</v>
      </c>
    </row>
    <row r="64" spans="1:5" x14ac:dyDescent="0.2">
      <c r="B64" s="43" t="s">
        <v>50</v>
      </c>
      <c r="C64" s="63">
        <f>IF('NG Parameters'!$G$44="No",D64,E64)</f>
        <v>6.844494702006771</v>
      </c>
      <c r="D64" s="148">
        <f>D63*Conversions!$B$8</f>
        <v>6.844494702006771</v>
      </c>
      <c r="E64" s="148">
        <f>D64*(1+'NG Parameters'!$G$45/100)</f>
        <v>7.5289441722074484</v>
      </c>
    </row>
    <row r="65" spans="2:21" x14ac:dyDescent="0.2">
      <c r="B65" s="43" t="s">
        <v>51</v>
      </c>
      <c r="C65" s="63">
        <f>IF('NG Parameters'!$G$44="No",D65,E65)</f>
        <v>49.566207207903766</v>
      </c>
      <c r="D65" s="148">
        <f>D63*C$70/10^6</f>
        <v>49.566207207903766</v>
      </c>
      <c r="E65" s="148">
        <f>D65*(1+'NG Parameters'!$G$45/100)</f>
        <v>54.522827928694149</v>
      </c>
    </row>
    <row r="67" spans="2:21" x14ac:dyDescent="0.2">
      <c r="B67" s="5" t="s">
        <v>243</v>
      </c>
      <c r="C67" s="143">
        <f>'NG Parameters'!$G6</f>
        <v>4.3480490514416106</v>
      </c>
      <c r="D67" s="26" t="s">
        <v>216</v>
      </c>
    </row>
    <row r="68" spans="2:21" x14ac:dyDescent="0.2">
      <c r="B68" s="5" t="s">
        <v>244</v>
      </c>
      <c r="C68" s="143">
        <f>'NG Parameters'!$G7</f>
        <v>2.7532272482369455</v>
      </c>
      <c r="D68" s="26" t="s">
        <v>216</v>
      </c>
    </row>
    <row r="69" spans="2:21" x14ac:dyDescent="0.2">
      <c r="B69" s="164" t="s">
        <v>373</v>
      </c>
      <c r="C69" s="143">
        <f>'NG Parameters'!$G8</f>
        <v>0.38579227203138206</v>
      </c>
      <c r="D69" s="26"/>
    </row>
    <row r="70" spans="2:21" ht="16" x14ac:dyDescent="0.2">
      <c r="B70" s="9" t="s">
        <v>44</v>
      </c>
      <c r="C70" s="104">
        <f>'NG Parameters'!$G$42</f>
        <v>6865.1911468812878</v>
      </c>
      <c r="D70" s="5" t="s">
        <v>45</v>
      </c>
    </row>
    <row r="71" spans="2:21" ht="16" x14ac:dyDescent="0.2">
      <c r="B71" s="5" t="s">
        <v>100</v>
      </c>
      <c r="C71" s="103">
        <f>Conversions!B$2</f>
        <v>51505.644797356501</v>
      </c>
      <c r="D71" s="120" t="s">
        <v>101</v>
      </c>
    </row>
    <row r="72" spans="2:21" x14ac:dyDescent="0.2">
      <c r="B72" s="27" t="s">
        <v>24</v>
      </c>
      <c r="C72" s="50">
        <f>'NG Parameters'!$G$43</f>
        <v>1037</v>
      </c>
      <c r="D72" s="5" t="s">
        <v>25</v>
      </c>
      <c r="L72" s="165" t="s">
        <v>91</v>
      </c>
    </row>
    <row r="73" spans="2:21" ht="16" x14ac:dyDescent="0.2">
      <c r="B73" s="9" t="s">
        <v>126</v>
      </c>
      <c r="C73" s="110">
        <f>Conversions!B$5</f>
        <v>3.6666666666666665</v>
      </c>
      <c r="D73" s="5" t="s">
        <v>116</v>
      </c>
    </row>
    <row r="74" spans="2:21" s="80" customFormat="1" x14ac:dyDescent="0.2">
      <c r="B74" s="20"/>
      <c r="C74" s="106"/>
      <c r="D74" s="19"/>
    </row>
    <row r="75" spans="2:21" x14ac:dyDescent="0.2">
      <c r="B75" s="55" t="s">
        <v>241</v>
      </c>
      <c r="C75" s="62">
        <f>C67*C$81/10^6</f>
        <v>135.55476853164555</v>
      </c>
    </row>
    <row r="76" spans="2:21" x14ac:dyDescent="0.2">
      <c r="B76" s="55" t="s">
        <v>242</v>
      </c>
      <c r="C76" s="62">
        <f t="shared" ref="C76:C77" si="3">C68*C$81/10^6</f>
        <v>85.83460718458052</v>
      </c>
    </row>
    <row r="77" spans="2:21" x14ac:dyDescent="0.2">
      <c r="B77" s="55" t="s">
        <v>374</v>
      </c>
      <c r="C77" s="62">
        <f t="shared" si="3"/>
        <v>12.027459101265823</v>
      </c>
      <c r="R77" s="165" t="s">
        <v>285</v>
      </c>
    </row>
    <row r="78" spans="2:21" x14ac:dyDescent="0.2">
      <c r="B78" s="55" t="s">
        <v>157</v>
      </c>
      <c r="C78" s="65">
        <f>C50</f>
        <v>27568.156999999999</v>
      </c>
      <c r="D78" s="2" t="s">
        <v>81</v>
      </c>
    </row>
    <row r="79" spans="2:21" ht="16" x14ac:dyDescent="0.2">
      <c r="B79" s="55" t="s">
        <v>158</v>
      </c>
      <c r="C79" s="65">
        <f>C51</f>
        <v>3607.8409999999999</v>
      </c>
      <c r="D79" s="2" t="s">
        <v>81</v>
      </c>
      <c r="K79" s="210" t="s">
        <v>275</v>
      </c>
      <c r="O79" s="165" t="s">
        <v>275</v>
      </c>
      <c r="R79" s="220" t="s">
        <v>288</v>
      </c>
      <c r="S79" s="218">
        <v>23.21</v>
      </c>
      <c r="T79" s="220" t="s">
        <v>289</v>
      </c>
      <c r="U79" s="174" t="s">
        <v>290</v>
      </c>
    </row>
    <row r="80" spans="2:21" x14ac:dyDescent="0.2">
      <c r="B80" s="55" t="s">
        <v>159</v>
      </c>
      <c r="C80" s="65">
        <f>C52</f>
        <v>31175.998</v>
      </c>
      <c r="D80" s="2" t="s">
        <v>81</v>
      </c>
      <c r="J80" s="165" t="s">
        <v>274</v>
      </c>
      <c r="K80" s="166">
        <f>K82/C81</f>
        <v>0.13792661906124062</v>
      </c>
      <c r="L80" s="167"/>
      <c r="N80" s="165" t="s">
        <v>277</v>
      </c>
      <c r="O80" s="166">
        <f>O82/C81</f>
        <v>0.36566592030189377</v>
      </c>
      <c r="P80" s="167"/>
      <c r="R80" s="220"/>
      <c r="S80" s="175">
        <f>S79*35.3147</f>
        <v>819.65418700000009</v>
      </c>
      <c r="T80" s="220" t="s">
        <v>81</v>
      </c>
      <c r="U80" s="220"/>
    </row>
    <row r="81" spans="2:21" x14ac:dyDescent="0.2">
      <c r="B81" s="55" t="s">
        <v>159</v>
      </c>
      <c r="C81" s="65">
        <f>C80*10^3</f>
        <v>31175998</v>
      </c>
      <c r="D81" s="2" t="s">
        <v>215</v>
      </c>
      <c r="R81" s="220" t="s">
        <v>291</v>
      </c>
      <c r="S81" s="221">
        <v>0.95</v>
      </c>
      <c r="T81" s="220"/>
      <c r="U81" s="220"/>
    </row>
    <row r="82" spans="2:21" ht="17" x14ac:dyDescent="0.2">
      <c r="B82" s="46" t="s">
        <v>41</v>
      </c>
      <c r="C82" s="60">
        <f>C80*C72*10^3</f>
        <v>32329509926</v>
      </c>
      <c r="J82" s="55" t="s">
        <v>159</v>
      </c>
      <c r="K82" s="65">
        <v>4300000</v>
      </c>
      <c r="L82" s="2" t="s">
        <v>215</v>
      </c>
      <c r="N82" s="55" t="s">
        <v>159</v>
      </c>
      <c r="O82" s="65">
        <v>11400000</v>
      </c>
      <c r="P82" s="2" t="s">
        <v>215</v>
      </c>
      <c r="R82" s="171" t="s">
        <v>292</v>
      </c>
      <c r="S82" s="175">
        <v>84.64</v>
      </c>
      <c r="T82" s="220" t="s">
        <v>293</v>
      </c>
      <c r="U82" s="46"/>
    </row>
    <row r="83" spans="2:21" x14ac:dyDescent="0.2">
      <c r="B83" s="55" t="s">
        <v>256</v>
      </c>
      <c r="C83" s="122">
        <f>D107/C81</f>
        <v>4.3480490514416106</v>
      </c>
      <c r="D83" s="2" t="s">
        <v>245</v>
      </c>
      <c r="J83" s="55" t="s">
        <v>256</v>
      </c>
      <c r="K83" s="122">
        <f>K107/K82</f>
        <v>5.8335002413749963</v>
      </c>
      <c r="L83" s="2" t="s">
        <v>245</v>
      </c>
      <c r="N83" s="55" t="s">
        <v>256</v>
      </c>
      <c r="O83" s="122">
        <f>O107/O82</f>
        <v>2.2965579394367532</v>
      </c>
      <c r="P83" s="2" t="s">
        <v>245</v>
      </c>
      <c r="Q83" s="122"/>
      <c r="R83" s="220" t="s">
        <v>295</v>
      </c>
      <c r="S83" s="222">
        <f>S80*S81*S82*10^3</f>
        <v>65906753.868295997</v>
      </c>
      <c r="T83" s="220" t="s">
        <v>294</v>
      </c>
      <c r="U83" s="46"/>
    </row>
    <row r="84" spans="2:21" x14ac:dyDescent="0.2">
      <c r="B84" s="55" t="s">
        <v>246</v>
      </c>
      <c r="C84" s="122">
        <f>D108/C81</f>
        <v>0.77456954894790409</v>
      </c>
      <c r="D84" s="2" t="s">
        <v>245</v>
      </c>
      <c r="J84" s="55" t="s">
        <v>246</v>
      </c>
      <c r="K84" s="122">
        <f>K108/K82</f>
        <v>1.9438986803061524</v>
      </c>
      <c r="L84" s="2" t="s">
        <v>245</v>
      </c>
      <c r="N84" s="55" t="s">
        <v>246</v>
      </c>
      <c r="O84" s="122">
        <f>O108/O82</f>
        <v>2.7839050632911391E-2</v>
      </c>
      <c r="P84" s="2" t="s">
        <v>245</v>
      </c>
      <c r="Q84" s="122"/>
      <c r="R84" s="175"/>
      <c r="S84" s="220"/>
      <c r="T84" s="220"/>
      <c r="U84" s="46"/>
    </row>
    <row r="85" spans="2:21" ht="16" x14ac:dyDescent="0.2">
      <c r="B85" s="55" t="s">
        <v>372</v>
      </c>
      <c r="C85" s="122">
        <f>D109/C81</f>
        <v>0.38579227203138206</v>
      </c>
      <c r="D85" s="2" t="s">
        <v>245</v>
      </c>
      <c r="J85" s="55" t="s">
        <v>372</v>
      </c>
      <c r="K85" s="122">
        <f>K109/K82</f>
        <v>0.32315767441860466</v>
      </c>
      <c r="L85" s="2" t="s">
        <v>245</v>
      </c>
      <c r="N85" s="55"/>
      <c r="O85" s="86">
        <f>O109/O82</f>
        <v>0.10668070175438599</v>
      </c>
      <c r="Q85" s="122"/>
      <c r="R85" s="223" t="s">
        <v>7</v>
      </c>
      <c r="S85" s="222">
        <v>23938</v>
      </c>
      <c r="T85" s="220" t="s">
        <v>81</v>
      </c>
      <c r="U85" s="177" t="s">
        <v>296</v>
      </c>
    </row>
    <row r="86" spans="2:21" x14ac:dyDescent="0.2">
      <c r="B86" s="55"/>
      <c r="C86" s="122"/>
      <c r="Q86" s="172"/>
      <c r="R86" s="220"/>
      <c r="S86" s="222">
        <f>S85*10^3</f>
        <v>23938000</v>
      </c>
      <c r="T86" s="220" t="s">
        <v>215</v>
      </c>
      <c r="U86" s="220"/>
    </row>
    <row r="87" spans="2:21" x14ac:dyDescent="0.2">
      <c r="B87" s="91" t="s">
        <v>78</v>
      </c>
      <c r="Q87" s="80"/>
      <c r="R87" s="220"/>
      <c r="S87" s="220"/>
      <c r="T87" s="220"/>
      <c r="U87" s="220"/>
    </row>
    <row r="88" spans="2:21" x14ac:dyDescent="0.2">
      <c r="B88" s="80"/>
      <c r="C88" s="2" t="s">
        <v>222</v>
      </c>
      <c r="D88" s="2" t="s">
        <v>223</v>
      </c>
      <c r="F88" s="80"/>
      <c r="K88" s="2" t="s">
        <v>222</v>
      </c>
      <c r="L88" s="2" t="s">
        <v>223</v>
      </c>
      <c r="O88" s="2" t="s">
        <v>222</v>
      </c>
      <c r="P88" s="2" t="s">
        <v>223</v>
      </c>
      <c r="Q88" s="80"/>
      <c r="R88" s="220" t="s">
        <v>297</v>
      </c>
      <c r="S88" s="175">
        <f>S83/S86</f>
        <v>2.7532272482369455</v>
      </c>
      <c r="T88" s="220"/>
      <c r="U88" s="46"/>
    </row>
    <row r="89" spans="2:21" x14ac:dyDescent="0.2">
      <c r="B89" s="55" t="s">
        <v>247</v>
      </c>
      <c r="E89" s="225" t="s">
        <v>382</v>
      </c>
      <c r="F89" s="165" t="s">
        <v>276</v>
      </c>
      <c r="J89" s="55" t="s">
        <v>247</v>
      </c>
      <c r="N89" s="55" t="s">
        <v>247</v>
      </c>
      <c r="Q89" s="80"/>
      <c r="R89" s="220"/>
      <c r="T89" s="220"/>
      <c r="U89" s="46"/>
    </row>
    <row r="90" spans="2:21" x14ac:dyDescent="0.2">
      <c r="B90" s="55" t="s">
        <v>240</v>
      </c>
      <c r="E90" s="3"/>
      <c r="J90" s="55" t="s">
        <v>240</v>
      </c>
      <c r="N90" s="55" t="s">
        <v>240</v>
      </c>
      <c r="Q90" s="80"/>
      <c r="R90" s="80"/>
      <c r="S90" s="80"/>
    </row>
    <row r="91" spans="2:21" x14ac:dyDescent="0.2">
      <c r="B91" s="55" t="s">
        <v>248</v>
      </c>
      <c r="E91" s="139"/>
      <c r="J91" s="55" t="s">
        <v>248</v>
      </c>
      <c r="N91" s="55" t="s">
        <v>248</v>
      </c>
      <c r="Q91" s="80"/>
      <c r="R91" s="80"/>
      <c r="S91" s="80"/>
    </row>
    <row r="92" spans="2:21" x14ac:dyDescent="0.2">
      <c r="B92" s="55" t="s">
        <v>236</v>
      </c>
      <c r="E92" s="139"/>
      <c r="J92" s="55" t="s">
        <v>236</v>
      </c>
      <c r="N92" s="55" t="s">
        <v>236</v>
      </c>
      <c r="Q92" s="80"/>
      <c r="R92" s="80"/>
      <c r="S92" s="80"/>
    </row>
    <row r="93" spans="2:21" x14ac:dyDescent="0.2">
      <c r="B93" s="55" t="s">
        <v>249</v>
      </c>
      <c r="C93" s="140">
        <f xml:space="preserve"> 43.358532*E93/(1-F93)</f>
        <v>32.930530632911385</v>
      </c>
      <c r="D93" s="56">
        <f>(5.26804+0.030295)*E93/(1-F93)</f>
        <v>4.0240518987341769</v>
      </c>
      <c r="E93" s="119">
        <f>'NG Parameters'!B5/100</f>
        <v>0.6</v>
      </c>
      <c r="F93" s="119">
        <v>0.21</v>
      </c>
      <c r="J93" s="55" t="s">
        <v>249</v>
      </c>
      <c r="K93" s="56">
        <f xml:space="preserve"> 9.852683*E$93/(1-F93)</f>
        <v>7.4830503797468353</v>
      </c>
      <c r="L93" s="56">
        <f>D93*$K$80</f>
        <v>0.55502387331937086</v>
      </c>
      <c r="N93" s="55" t="s">
        <v>249</v>
      </c>
      <c r="O93" s="56">
        <f xml:space="preserve"> 2.763284*E$93/(1-F93)</f>
        <v>2.0986967088607593</v>
      </c>
      <c r="P93" s="56">
        <f t="shared" ref="P93:P99" si="4">D93*$O$80</f>
        <v>1.4714586408932158</v>
      </c>
      <c r="Q93" s="47"/>
      <c r="R93" s="47"/>
      <c r="S93" s="80"/>
    </row>
    <row r="94" spans="2:21" x14ac:dyDescent="0.2">
      <c r="B94" s="55" t="s">
        <v>234</v>
      </c>
      <c r="C94" s="140">
        <f xml:space="preserve"> 21.845655*E93/(1-F93)</f>
        <v>16.591636708860758</v>
      </c>
      <c r="D94" s="56"/>
      <c r="E94" s="139"/>
      <c r="J94" s="55" t="s">
        <v>234</v>
      </c>
      <c r="K94" s="56">
        <f xml:space="preserve"> 7.052517*E93/(1-F93)</f>
        <v>5.3563420253164553</v>
      </c>
      <c r="L94" s="56">
        <f>D94*$K$80</f>
        <v>0</v>
      </c>
      <c r="N94" s="55" t="s">
        <v>234</v>
      </c>
      <c r="O94" s="56">
        <f>0.038992*E93/(1-F93)</f>
        <v>2.9614177215189868E-2</v>
      </c>
      <c r="P94" s="56">
        <f t="shared" si="4"/>
        <v>0</v>
      </c>
      <c r="Q94" s="47"/>
      <c r="R94" s="47"/>
      <c r="S94" s="80"/>
    </row>
    <row r="95" spans="2:21" x14ac:dyDescent="0.2">
      <c r="B95" s="55" t="s">
        <v>367</v>
      </c>
      <c r="C95" s="140">
        <f>0.03456*E93/(1-F93)</f>
        <v>2.6248101265822783E-2</v>
      </c>
      <c r="D95" s="56"/>
      <c r="E95" s="139"/>
      <c r="J95" s="55" t="s">
        <v>367</v>
      </c>
      <c r="K95" s="56">
        <v>0</v>
      </c>
      <c r="L95" s="56"/>
      <c r="N95" s="55" t="s">
        <v>367</v>
      </c>
      <c r="O95" s="56">
        <v>3.339E-3</v>
      </c>
      <c r="P95" s="56">
        <f t="shared" si="4"/>
        <v>0</v>
      </c>
      <c r="Q95" s="47"/>
      <c r="R95" s="47"/>
      <c r="S95" s="80"/>
    </row>
    <row r="96" spans="2:21" x14ac:dyDescent="0.2">
      <c r="B96" s="55" t="s">
        <v>250</v>
      </c>
      <c r="C96" s="140">
        <v>59.269931999999997</v>
      </c>
      <c r="D96" s="56"/>
      <c r="E96" s="139"/>
      <c r="J96" s="55" t="s">
        <v>250</v>
      </c>
      <c r="K96" s="56">
        <v>11.626189</v>
      </c>
      <c r="L96" s="56">
        <f>D96*$K$80</f>
        <v>0</v>
      </c>
      <c r="N96" s="55" t="s">
        <v>250</v>
      </c>
      <c r="O96" s="56">
        <v>8.3213270000000001</v>
      </c>
      <c r="P96" s="56">
        <f t="shared" si="4"/>
        <v>0</v>
      </c>
      <c r="Q96" s="47"/>
      <c r="R96" s="47"/>
      <c r="S96" s="80"/>
    </row>
    <row r="97" spans="1:19" x14ac:dyDescent="0.2">
      <c r="B97" s="55" t="s">
        <v>235</v>
      </c>
      <c r="C97" s="209">
        <v>3.436995</v>
      </c>
      <c r="D97" s="56"/>
      <c r="E97" s="139"/>
      <c r="J97" s="55" t="s">
        <v>235</v>
      </c>
      <c r="K97" s="56">
        <v>1.438299</v>
      </c>
      <c r="L97" s="56">
        <f>D97*$K$80</f>
        <v>0</v>
      </c>
      <c r="N97" s="55" t="s">
        <v>235</v>
      </c>
      <c r="O97" s="56">
        <v>8.6674000000000001E-2</v>
      </c>
      <c r="P97" s="56">
        <f t="shared" si="4"/>
        <v>0</v>
      </c>
      <c r="Q97" s="47"/>
      <c r="R97" s="47"/>
      <c r="S97" s="80"/>
    </row>
    <row r="98" spans="1:19" x14ac:dyDescent="0.2">
      <c r="B98" s="55" t="s">
        <v>368</v>
      </c>
      <c r="C98" s="140">
        <v>0.60960199999999998</v>
      </c>
      <c r="D98" s="56"/>
      <c r="E98" s="139"/>
      <c r="J98" s="55" t="s">
        <v>368</v>
      </c>
      <c r="K98" s="56">
        <v>0.14707300000000001</v>
      </c>
      <c r="L98" s="56"/>
      <c r="N98" s="55" t="s">
        <v>368</v>
      </c>
      <c r="O98" s="56">
        <v>2.4684999999999999E-2</v>
      </c>
      <c r="P98" s="56">
        <f t="shared" si="4"/>
        <v>0</v>
      </c>
      <c r="Q98" s="47"/>
      <c r="R98" s="47"/>
      <c r="S98" s="80"/>
    </row>
    <row r="99" spans="1:19" ht="16" x14ac:dyDescent="0.2">
      <c r="B99" s="55" t="s">
        <v>251</v>
      </c>
      <c r="C99" s="140">
        <v>0.26467099999999999</v>
      </c>
      <c r="D99" s="56">
        <v>39.065582999999997</v>
      </c>
      <c r="E99" s="118" t="s">
        <v>167</v>
      </c>
      <c r="F99" s="3" t="s">
        <v>81</v>
      </c>
      <c r="J99" s="55" t="s">
        <v>251</v>
      </c>
      <c r="K99" s="56"/>
      <c r="L99" s="56">
        <f>D99*$K$80</f>
        <v>5.3881837848462775</v>
      </c>
      <c r="N99" s="55" t="s">
        <v>251</v>
      </c>
      <c r="O99" s="212">
        <v>4.3258000000000003E-3</v>
      </c>
      <c r="P99" s="56">
        <f t="shared" si="4"/>
        <v>14.284952359825015</v>
      </c>
      <c r="Q99" s="47"/>
      <c r="R99" s="47"/>
      <c r="S99" s="80"/>
    </row>
    <row r="100" spans="1:19" ht="16" x14ac:dyDescent="0.2">
      <c r="B100" s="55" t="s">
        <v>237</v>
      </c>
      <c r="C100" s="140">
        <v>4.1193470000000003</v>
      </c>
      <c r="D100" s="56"/>
      <c r="E100" s="118"/>
      <c r="F100" s="3"/>
      <c r="J100" s="55" t="s">
        <v>237</v>
      </c>
      <c r="K100" s="180">
        <v>1.5641233000000001</v>
      </c>
      <c r="L100" s="56">
        <f>D100*$K$80</f>
        <v>0</v>
      </c>
      <c r="N100" s="55" t="s">
        <v>237</v>
      </c>
      <c r="O100" s="213">
        <v>0.20107700000000001</v>
      </c>
      <c r="P100" s="56"/>
      <c r="Q100" s="47"/>
      <c r="R100" s="47"/>
      <c r="S100" s="80"/>
    </row>
    <row r="101" spans="1:19" x14ac:dyDescent="0.2">
      <c r="B101" s="55" t="s">
        <v>369</v>
      </c>
      <c r="C101" s="140">
        <v>11.391609000000001</v>
      </c>
      <c r="D101" s="56"/>
      <c r="E101" s="118"/>
      <c r="F101" s="3"/>
      <c r="J101" s="55" t="s">
        <v>369</v>
      </c>
      <c r="K101" s="56">
        <v>1.242505</v>
      </c>
      <c r="L101" s="56"/>
      <c r="N101" s="55" t="s">
        <v>369</v>
      </c>
      <c r="O101" s="213">
        <v>1.1881360000000001</v>
      </c>
      <c r="P101" s="56"/>
      <c r="Q101" s="47"/>
      <c r="R101" s="80"/>
      <c r="S101" s="80"/>
    </row>
    <row r="102" spans="1:19" x14ac:dyDescent="0.2">
      <c r="B102" s="55" t="s">
        <v>252</v>
      </c>
      <c r="C102" s="140"/>
      <c r="E102" s="119">
        <f>'NG Parameters'!B47/100</f>
        <v>0.83</v>
      </c>
      <c r="F102" s="64">
        <v>1248.046</v>
      </c>
      <c r="G102" s="2" t="s">
        <v>79</v>
      </c>
      <c r="J102" s="55" t="s">
        <v>252</v>
      </c>
      <c r="K102" s="56">
        <v>3.1604E-2</v>
      </c>
      <c r="L102" s="56">
        <f>D102*$K$80</f>
        <v>0</v>
      </c>
      <c r="N102" s="55" t="s">
        <v>252</v>
      </c>
      <c r="O102" s="213"/>
      <c r="P102" s="56"/>
      <c r="Q102" s="47"/>
      <c r="R102" s="80"/>
      <c r="S102" s="80"/>
    </row>
    <row r="103" spans="1:19" x14ac:dyDescent="0.2">
      <c r="B103" s="55" t="s">
        <v>253</v>
      </c>
      <c r="C103" s="140"/>
      <c r="E103" s="119">
        <f>'NG Parameters'!B49/100</f>
        <v>0.83</v>
      </c>
      <c r="F103" s="64">
        <v>446.19200000000001</v>
      </c>
      <c r="G103" s="2" t="s">
        <v>80</v>
      </c>
      <c r="J103" s="55" t="s">
        <v>253</v>
      </c>
      <c r="K103" s="56">
        <f>C103*$K$80</f>
        <v>0</v>
      </c>
      <c r="L103" s="56">
        <f>D103*$K$80</f>
        <v>0</v>
      </c>
      <c r="N103" s="55" t="s">
        <v>253</v>
      </c>
      <c r="O103" s="56"/>
      <c r="P103" s="56"/>
      <c r="Q103" s="47"/>
      <c r="R103" s="80"/>
      <c r="S103" s="80"/>
    </row>
    <row r="104" spans="1:19" x14ac:dyDescent="0.2">
      <c r="B104" s="55" t="s">
        <v>254</v>
      </c>
      <c r="D104" s="47">
        <f>SUM(C89:D89,C91:D91,C93:D93,C96:D96,C99:D99,C102:D103)</f>
        <v>135.55476853164555</v>
      </c>
      <c r="J104" s="55" t="s">
        <v>254</v>
      </c>
      <c r="K104" s="47">
        <f>SUM(K89:L89,K91:L91,K93:L93,K96:L96,K99:L99,K102:L103)</f>
        <v>25.084051037912484</v>
      </c>
      <c r="N104" s="55" t="s">
        <v>254</v>
      </c>
      <c r="O104" s="47">
        <f>SUM(O89:P89,O91:P91,O93:P93,O96:P96,O99:P99,O102:P103)</f>
        <v>26.180760509578988</v>
      </c>
      <c r="Q104" s="47"/>
      <c r="R104" s="80"/>
      <c r="S104" s="80"/>
    </row>
    <row r="105" spans="1:19" x14ac:dyDescent="0.2">
      <c r="B105" s="55" t="s">
        <v>238</v>
      </c>
      <c r="D105" s="47">
        <f>SUM(C90:D90,C92:D92,C94:D94,C97:D97,C100:D100)</f>
        <v>24.147978708860759</v>
      </c>
      <c r="J105" s="55" t="s">
        <v>238</v>
      </c>
      <c r="K105" s="47">
        <f>SUM(K90:L90,K92:L92,K94:L94,K97:L97,K100:L100)</f>
        <v>8.3587643253164554</v>
      </c>
      <c r="N105" s="55" t="s">
        <v>238</v>
      </c>
      <c r="O105" s="47">
        <f>SUM(O90:P90,O92:P92,O94:P94,O97:P97,O100:P100)</f>
        <v>0.31736517721518986</v>
      </c>
      <c r="Q105" s="65"/>
      <c r="R105" s="80"/>
      <c r="S105" s="80"/>
    </row>
    <row r="106" spans="1:19" x14ac:dyDescent="0.2">
      <c r="B106" s="55" t="s">
        <v>371</v>
      </c>
      <c r="D106" s="47">
        <f>SUM(C95:D95,C98:D98,C101:D101)</f>
        <v>12.027459101265823</v>
      </c>
      <c r="J106" s="55" t="s">
        <v>371</v>
      </c>
      <c r="K106" s="47">
        <f>SUM(K95:L95,K98:L98,K101:L101)</f>
        <v>1.389578</v>
      </c>
      <c r="N106" s="55" t="s">
        <v>371</v>
      </c>
      <c r="O106" s="47">
        <f>SUM(O95:P95,O98:P98,O101:P101)</f>
        <v>1.2161600000000001</v>
      </c>
      <c r="Q106" s="65"/>
      <c r="R106" s="80"/>
      <c r="S106" s="80"/>
    </row>
    <row r="107" spans="1:19" x14ac:dyDescent="0.2">
      <c r="B107" s="55" t="s">
        <v>255</v>
      </c>
      <c r="D107" s="65">
        <f>D104*10^6</f>
        <v>135554768.53164554</v>
      </c>
      <c r="J107" s="55" t="s">
        <v>255</v>
      </c>
      <c r="K107" s="65">
        <f>K104*10^6</f>
        <v>25084051.037912484</v>
      </c>
      <c r="N107" s="55" t="s">
        <v>255</v>
      </c>
      <c r="O107" s="65">
        <f>O104*10^6</f>
        <v>26180760.509578988</v>
      </c>
    </row>
    <row r="108" spans="1:19" x14ac:dyDescent="0.2">
      <c r="B108" s="55" t="s">
        <v>239</v>
      </c>
      <c r="D108" s="65">
        <f t="shared" ref="D108:D109" si="5">D105*10^6</f>
        <v>24147978.708860759</v>
      </c>
      <c r="J108" s="55" t="s">
        <v>239</v>
      </c>
      <c r="K108" s="65">
        <f t="shared" ref="K108:K109" si="6">K105*10^6</f>
        <v>8358764.3253164552</v>
      </c>
      <c r="N108" s="55" t="s">
        <v>239</v>
      </c>
      <c r="O108" s="65">
        <f t="shared" ref="O108:O109" si="7">O105*10^6</f>
        <v>317365.17721518985</v>
      </c>
    </row>
    <row r="109" spans="1:19" x14ac:dyDescent="0.2">
      <c r="B109" s="55" t="s">
        <v>370</v>
      </c>
      <c r="D109" s="65">
        <f t="shared" si="5"/>
        <v>12027459.101265823</v>
      </c>
      <c r="J109" s="55" t="s">
        <v>370</v>
      </c>
      <c r="K109" s="65">
        <f t="shared" si="6"/>
        <v>1389578</v>
      </c>
      <c r="N109" s="55" t="s">
        <v>370</v>
      </c>
      <c r="O109" s="65">
        <f t="shared" si="7"/>
        <v>1216160.0000000002</v>
      </c>
      <c r="P109" s="65"/>
    </row>
    <row r="110" spans="1:19" x14ac:dyDescent="0.2">
      <c r="B110" s="46"/>
      <c r="C110" s="60"/>
    </row>
    <row r="111" spans="1:19" s="39" customFormat="1" x14ac:dyDescent="0.2">
      <c r="A111" s="39" t="s">
        <v>179</v>
      </c>
    </row>
    <row r="112" spans="1:19" s="66" customFormat="1" x14ac:dyDescent="0.2">
      <c r="B112" s="40" t="s">
        <v>42</v>
      </c>
      <c r="C112" s="67"/>
      <c r="D112" s="67"/>
      <c r="E112" s="67"/>
      <c r="F112" s="146" t="s">
        <v>228</v>
      </c>
      <c r="G112" s="146"/>
      <c r="H112" s="146"/>
      <c r="I112" s="146" t="s">
        <v>225</v>
      </c>
      <c r="J112" s="146"/>
      <c r="K112" s="146"/>
    </row>
    <row r="113" spans="2:11" x14ac:dyDescent="0.2">
      <c r="B113" s="41"/>
      <c r="C113" s="40" t="s">
        <v>48</v>
      </c>
      <c r="D113" s="42" t="s">
        <v>52</v>
      </c>
      <c r="E113" s="42" t="s">
        <v>53</v>
      </c>
      <c r="F113" s="147" t="s">
        <v>48</v>
      </c>
      <c r="G113" s="144" t="s">
        <v>52</v>
      </c>
      <c r="H113" s="144" t="s">
        <v>53</v>
      </c>
      <c r="I113" s="147" t="s">
        <v>48</v>
      </c>
      <c r="J113" s="144" t="s">
        <v>52</v>
      </c>
      <c r="K113" s="144" t="s">
        <v>53</v>
      </c>
    </row>
    <row r="114" spans="2:11" x14ac:dyDescent="0.2">
      <c r="B114" s="43" t="s">
        <v>49</v>
      </c>
      <c r="C114" s="44">
        <f>IF('NG Parameters'!$G$44="No",F114,I114)</f>
        <v>286.00660636149928</v>
      </c>
      <c r="D114" s="44">
        <f>IF('NG Parameters'!$G$44="No",G114,J114)</f>
        <v>10296.237829013975</v>
      </c>
      <c r="E114" s="44">
        <f>IF('NG Parameters'!$G$44="No",H114,K114)</f>
        <v>24882.574753450437</v>
      </c>
      <c r="F114" s="148">
        <f>(C119+C120)/C122*C123/C121*10^12</f>
        <v>286.00660636149928</v>
      </c>
      <c r="G114" s="148">
        <f>F114*Conversions!$B$7</f>
        <v>10296.237829013975</v>
      </c>
      <c r="H114" s="148">
        <f>F114*Conversions!$B$6</f>
        <v>24882.574753450437</v>
      </c>
      <c r="I114" s="148">
        <f>F114*(1+'NG Parameters'!$G$45/100)</f>
        <v>314.60726699764922</v>
      </c>
      <c r="J114" s="148">
        <f>G114*(1+'NG Parameters'!$G$45/100)</f>
        <v>11325.861611915374</v>
      </c>
      <c r="K114" s="148">
        <f>H114*(1+'NG Parameters'!$G$45/100)</f>
        <v>27370.832228795483</v>
      </c>
    </row>
    <row r="115" spans="2:11" x14ac:dyDescent="0.2">
      <c r="B115" s="43" t="s">
        <v>50</v>
      </c>
      <c r="C115" s="44">
        <f>IF('NG Parameters'!$G$44="No",F115,I115)</f>
        <v>0.2711342628307013</v>
      </c>
      <c r="D115" s="44">
        <f>IF('NG Parameters'!$G$44="No",G115,J115)</f>
        <v>9.7608334619052464</v>
      </c>
      <c r="E115" s="44">
        <f>IF('NG Parameters'!$G$44="No",H115,K115)</f>
        <v>23.588680866271012</v>
      </c>
      <c r="F115" s="148">
        <f>F114*Conversions!$B$8</f>
        <v>0.2711342628307013</v>
      </c>
      <c r="G115" s="148">
        <f>F115*Conversions!$B$7</f>
        <v>9.7608334619052464</v>
      </c>
      <c r="H115" s="148">
        <f>F115*Conversions!$B$6</f>
        <v>23.588680866271012</v>
      </c>
      <c r="I115" s="148">
        <f>F115*(1+'NG Parameters'!$G$45/100)</f>
        <v>0.29824768911377147</v>
      </c>
      <c r="J115" s="148">
        <f>G115*(1+'NG Parameters'!$G$45/100)</f>
        <v>10.736916808095772</v>
      </c>
      <c r="K115" s="148">
        <f>H115*(1+'NG Parameters'!$G$45/100)</f>
        <v>25.947548952898117</v>
      </c>
    </row>
    <row r="116" spans="2:11" x14ac:dyDescent="0.2">
      <c r="B116" s="43" t="s">
        <v>51</v>
      </c>
      <c r="C116" s="44">
        <f>IF('NG Parameters'!$G$44="No",F116,I116)</f>
        <v>1.9634900219425264</v>
      </c>
      <c r="D116" s="44">
        <f>IF('NG Parameters'!$G$44="No",G116,J116)</f>
        <v>70.685640789930957</v>
      </c>
      <c r="E116" s="44">
        <f>IF('NG Parameters'!$G$44="No",H116,K116)</f>
        <v>170.8236319089998</v>
      </c>
      <c r="F116" s="148">
        <f>F114*C$118/10^6</f>
        <v>1.9634900219425264</v>
      </c>
      <c r="G116" s="148">
        <f>F116*Conversions!$B$7</f>
        <v>70.685640789930957</v>
      </c>
      <c r="H116" s="148">
        <f>F116*Conversions!$B$6</f>
        <v>170.8236319089998</v>
      </c>
      <c r="I116" s="148">
        <f>F116*(1+'NG Parameters'!$G$45/100)</f>
        <v>2.1598390241367791</v>
      </c>
      <c r="J116" s="148">
        <f>G116*(1+'NG Parameters'!$G$45/100)</f>
        <v>77.754204868924063</v>
      </c>
      <c r="K116" s="148">
        <f>H116*(1+'NG Parameters'!$G$45/100)</f>
        <v>187.9059950998998</v>
      </c>
    </row>
    <row r="117" spans="2:11" x14ac:dyDescent="0.2">
      <c r="B117" s="46"/>
      <c r="C117" s="47"/>
    </row>
    <row r="118" spans="2:11" ht="16" x14ac:dyDescent="0.2">
      <c r="B118" s="9" t="s">
        <v>44</v>
      </c>
      <c r="C118" s="104">
        <f>'NG Parameters'!$G$42</f>
        <v>6865.1911468812878</v>
      </c>
      <c r="D118" s="5" t="s">
        <v>45</v>
      </c>
    </row>
    <row r="119" spans="2:11" x14ac:dyDescent="0.2">
      <c r="B119" s="48" t="s">
        <v>200</v>
      </c>
      <c r="C119" s="159">
        <f>'NG Parameters'!$G12/100</f>
        <v>1.6079999999999997E-2</v>
      </c>
    </row>
    <row r="120" spans="2:11" x14ac:dyDescent="0.2">
      <c r="B120" s="48" t="s">
        <v>201</v>
      </c>
      <c r="C120" s="159">
        <f>'NG Parameters'!$G15/100</f>
        <v>0</v>
      </c>
    </row>
    <row r="121" spans="2:11" x14ac:dyDescent="0.2">
      <c r="B121" s="27" t="s">
        <v>24</v>
      </c>
      <c r="C121" s="50">
        <f>'NG Parameters'!$G43</f>
        <v>1037</v>
      </c>
      <c r="D121" s="5" t="s">
        <v>25</v>
      </c>
    </row>
    <row r="122" spans="2:11" ht="16" x14ac:dyDescent="0.2">
      <c r="B122" s="5" t="s">
        <v>100</v>
      </c>
      <c r="C122" s="103">
        <f>Conversions!B$2</f>
        <v>51505.644797356501</v>
      </c>
      <c r="D122" s="120" t="s">
        <v>101</v>
      </c>
    </row>
    <row r="123" spans="2:11" x14ac:dyDescent="0.2">
      <c r="B123" s="27" t="s">
        <v>36</v>
      </c>
      <c r="C123" s="51">
        <f>'NG Parameters'!$G50/100</f>
        <v>0.95</v>
      </c>
      <c r="D123" s="22"/>
    </row>
    <row r="125" spans="2:11" x14ac:dyDescent="0.2">
      <c r="B125" s="27" t="s">
        <v>186</v>
      </c>
      <c r="C125" s="52"/>
      <c r="D125" s="22"/>
    </row>
    <row r="126" spans="2:11" x14ac:dyDescent="0.2">
      <c r="B126" s="80"/>
      <c r="C126" s="127" t="s">
        <v>21</v>
      </c>
      <c r="D126" s="127" t="s">
        <v>18</v>
      </c>
    </row>
    <row r="127" spans="2:11" x14ac:dyDescent="0.2">
      <c r="B127" s="80"/>
      <c r="C127" s="80"/>
      <c r="D127" s="80"/>
    </row>
    <row r="128" spans="2:11" x14ac:dyDescent="0.2">
      <c r="B128" s="80" t="s">
        <v>22</v>
      </c>
      <c r="C128" s="47">
        <v>1.3985000000000001</v>
      </c>
      <c r="D128" s="47">
        <f>1.8-0.067</f>
        <v>1.7330000000000001</v>
      </c>
    </row>
    <row r="129" spans="2:6" x14ac:dyDescent="0.2">
      <c r="B129" s="80" t="s">
        <v>38</v>
      </c>
      <c r="C129" s="122">
        <f>C128*C122/10^3/C123</f>
        <v>75.821730788529564</v>
      </c>
      <c r="D129" s="122">
        <f>D128*C122/10^3/C123</f>
        <v>93.957139404019827</v>
      </c>
    </row>
    <row r="130" spans="2:6" x14ac:dyDescent="0.2">
      <c r="B130" s="55" t="s">
        <v>192</v>
      </c>
      <c r="C130" s="83">
        <f>C129/$C$144</f>
        <v>2.4320546462868508E-3</v>
      </c>
      <c r="D130" s="83">
        <f>D129/$D$144</f>
        <v>3.5094256085391388E-3</v>
      </c>
    </row>
    <row r="131" spans="2:6" x14ac:dyDescent="0.2">
      <c r="B131" s="55" t="s">
        <v>193</v>
      </c>
      <c r="C131" s="130">
        <f>C129/$C$140</f>
        <v>2.0313633190542691E-3</v>
      </c>
      <c r="D131" s="130">
        <f>D129/$C$140</f>
        <v>2.5172346313343213E-3</v>
      </c>
    </row>
    <row r="132" spans="2:6" x14ac:dyDescent="0.2">
      <c r="C132" s="59"/>
      <c r="D132" s="59"/>
    </row>
    <row r="133" spans="2:6" x14ac:dyDescent="0.2">
      <c r="B133" s="172" t="s">
        <v>340</v>
      </c>
      <c r="C133" s="90">
        <v>972</v>
      </c>
      <c r="D133" s="90">
        <v>972</v>
      </c>
      <c r="E133" s="5" t="s">
        <v>63</v>
      </c>
    </row>
    <row r="134" spans="2:6" x14ac:dyDescent="0.2">
      <c r="B134" s="172" t="s">
        <v>339</v>
      </c>
      <c r="C134" s="121">
        <f>C130/C133</f>
        <v>2.5021138336284475E-6</v>
      </c>
      <c r="D134" s="121">
        <f>D130/D133</f>
        <v>3.6105201733941759E-6</v>
      </c>
      <c r="E134" s="165" t="s">
        <v>336</v>
      </c>
    </row>
    <row r="135" spans="2:6" x14ac:dyDescent="0.2">
      <c r="B135" s="164" t="s">
        <v>337</v>
      </c>
      <c r="C135" s="108">
        <f>'NG Parameters'!$G$10</f>
        <v>4000</v>
      </c>
      <c r="D135" s="108">
        <f>'NG Parameters'!$G$10</f>
        <v>4000</v>
      </c>
      <c r="E135" s="170" t="s">
        <v>321</v>
      </c>
    </row>
    <row r="136" spans="2:6" x14ac:dyDescent="0.2">
      <c r="B136" s="172" t="s">
        <v>338</v>
      </c>
      <c r="C136" s="83">
        <f>C134*C135</f>
        <v>1.0008455334513789E-2</v>
      </c>
      <c r="D136" s="83">
        <f>D134*D135</f>
        <v>1.4442080693576704E-2</v>
      </c>
    </row>
    <row r="137" spans="2:6" x14ac:dyDescent="0.2">
      <c r="B137" s="80" t="s">
        <v>22</v>
      </c>
      <c r="C137" s="122">
        <f>C136*C144/$C122*10^3*$C123</f>
        <v>5.7551440329218115</v>
      </c>
      <c r="D137" s="122">
        <f>D136*D144/$C122*10^3*$C123</f>
        <v>7.131687242798356</v>
      </c>
    </row>
    <row r="138" spans="2:6" x14ac:dyDescent="0.2">
      <c r="B138" s="80"/>
      <c r="C138" s="87"/>
    </row>
    <row r="139" spans="2:6" x14ac:dyDescent="0.2">
      <c r="B139" s="80" t="s">
        <v>194</v>
      </c>
      <c r="C139" s="83">
        <f>C131/C133*C135</f>
        <v>8.3595198314990495E-3</v>
      </c>
      <c r="D139" s="83">
        <f>D131/D133*D135</f>
        <v>1.0358990252404615E-2</v>
      </c>
    </row>
    <row r="140" spans="2:6" x14ac:dyDescent="0.2">
      <c r="B140" s="46" t="s">
        <v>168</v>
      </c>
      <c r="C140" s="60">
        <v>37325.538999999997</v>
      </c>
      <c r="D140" s="60">
        <v>32914.646999999997</v>
      </c>
      <c r="E140" s="2" t="s">
        <v>81</v>
      </c>
      <c r="F140" s="61" t="s">
        <v>32</v>
      </c>
    </row>
    <row r="142" spans="2:6" x14ac:dyDescent="0.2">
      <c r="B142" s="46" t="s">
        <v>157</v>
      </c>
      <c r="C142" s="62">
        <v>27568.156999999999</v>
      </c>
      <c r="D142" s="60">
        <v>24989.285</v>
      </c>
      <c r="E142" s="2" t="s">
        <v>81</v>
      </c>
      <c r="F142" s="61" t="s">
        <v>30</v>
      </c>
    </row>
    <row r="143" spans="2:6" x14ac:dyDescent="0.2">
      <c r="B143" s="46" t="s">
        <v>158</v>
      </c>
      <c r="C143" s="62">
        <v>3607.8409999999999</v>
      </c>
      <c r="D143" s="62">
        <v>1783.5119999999999</v>
      </c>
      <c r="E143" s="2" t="s">
        <v>81</v>
      </c>
      <c r="F143" s="61" t="s">
        <v>31</v>
      </c>
    </row>
    <row r="144" spans="2:6" x14ac:dyDescent="0.2">
      <c r="B144" s="46" t="s">
        <v>159</v>
      </c>
      <c r="C144" s="62">
        <v>31175.998</v>
      </c>
      <c r="D144" s="62">
        <v>26772.796999999999</v>
      </c>
      <c r="E144" s="2" t="s">
        <v>81</v>
      </c>
    </row>
    <row r="145" spans="1:11" x14ac:dyDescent="0.2">
      <c r="B145" s="46" t="s">
        <v>160</v>
      </c>
      <c r="C145" s="60">
        <f>C144*C121*10^3</f>
        <v>32329509926</v>
      </c>
      <c r="D145" s="60">
        <f>D144*C121*10^3</f>
        <v>27763390489</v>
      </c>
      <c r="E145" s="2" t="s">
        <v>156</v>
      </c>
    </row>
    <row r="146" spans="1:11" x14ac:dyDescent="0.2">
      <c r="C146" s="60"/>
      <c r="D146" s="60"/>
    </row>
    <row r="147" spans="1:11" x14ac:dyDescent="0.2">
      <c r="B147" s="46" t="s">
        <v>47</v>
      </c>
      <c r="C147" s="62">
        <f>C137/C145*10^12</f>
        <v>178.01519559359039</v>
      </c>
      <c r="D147" s="62">
        <f>D137/D145*10^12</f>
        <v>256.87378656522401</v>
      </c>
    </row>
    <row r="148" spans="1:11" x14ac:dyDescent="0.2">
      <c r="B148" s="46" t="s">
        <v>46</v>
      </c>
      <c r="C148" s="56">
        <f>C147*C118/10^6</f>
        <v>1.2221083447994576</v>
      </c>
      <c r="D148" s="56">
        <f>D147*C118/10^6</f>
        <v>1.7634876453934494</v>
      </c>
    </row>
    <row r="150" spans="1:11" s="39" customFormat="1" x14ac:dyDescent="0.2">
      <c r="A150" s="39" t="s">
        <v>74</v>
      </c>
    </row>
    <row r="151" spans="1:11" x14ac:dyDescent="0.2">
      <c r="B151" s="40" t="s">
        <v>42</v>
      </c>
      <c r="C151" s="41"/>
      <c r="D151" s="41"/>
      <c r="E151" s="41"/>
      <c r="F151" s="146" t="s">
        <v>228</v>
      </c>
      <c r="G151" s="146"/>
      <c r="H151" s="146"/>
      <c r="I151" s="146" t="s">
        <v>225</v>
      </c>
      <c r="J151" s="146"/>
      <c r="K151" s="146"/>
    </row>
    <row r="152" spans="1:11" x14ac:dyDescent="0.2">
      <c r="B152" s="43"/>
      <c r="C152" s="40" t="s">
        <v>48</v>
      </c>
      <c r="D152" s="42" t="s">
        <v>52</v>
      </c>
      <c r="E152" s="42" t="s">
        <v>53</v>
      </c>
      <c r="F152" s="147" t="s">
        <v>48</v>
      </c>
      <c r="G152" s="144" t="s">
        <v>52</v>
      </c>
      <c r="H152" s="144" t="s">
        <v>53</v>
      </c>
      <c r="I152" s="147" t="s">
        <v>48</v>
      </c>
      <c r="J152" s="144" t="s">
        <v>52</v>
      </c>
      <c r="K152" s="144" t="s">
        <v>53</v>
      </c>
    </row>
    <row r="153" spans="1:11" x14ac:dyDescent="0.2">
      <c r="B153" s="43" t="s">
        <v>49</v>
      </c>
      <c r="C153" s="68">
        <f>IF('NG Parameters'!$G$44="No",F153,I153)</f>
        <v>122.68416537511776</v>
      </c>
      <c r="D153" s="68">
        <f>IF('NG Parameters'!$G$44="No",G153,J153)</f>
        <v>4416.629953504239</v>
      </c>
      <c r="E153" s="68">
        <f>IF('NG Parameters'!$G$44="No",H153,K153)</f>
        <v>10673.522387635245</v>
      </c>
      <c r="F153" s="148">
        <f>F155/'NG Parameters'!$G$42*10^6</f>
        <v>122.68416537511776</v>
      </c>
      <c r="G153" s="148">
        <f>F153*Conversions!$B$7</f>
        <v>4416.629953504239</v>
      </c>
      <c r="H153" s="148">
        <f>F153*Conversions!$B$6</f>
        <v>10673.522387635245</v>
      </c>
      <c r="I153" s="148">
        <f>F153*(1+'NG Parameters'!$G$45/100)</f>
        <v>134.95258191262954</v>
      </c>
      <c r="J153" s="148">
        <f>G153*(1+'NG Parameters'!$G$45/100)</f>
        <v>4858.2929488546633</v>
      </c>
      <c r="K153" s="148">
        <f>H153*(1+'NG Parameters'!$G$45/100)</f>
        <v>11740.87462639877</v>
      </c>
    </row>
    <row r="154" spans="1:11" x14ac:dyDescent="0.2">
      <c r="B154" s="43" t="s">
        <v>50</v>
      </c>
      <c r="C154" s="68">
        <f>IF('NG Parameters'!$G$44="No",F154,I154)</f>
        <v>0.11630458877561163</v>
      </c>
      <c r="D154" s="68">
        <f>IF('NG Parameters'!$G$44="No",G154,J154)</f>
        <v>4.1869651959220189</v>
      </c>
      <c r="E154" s="68">
        <f>IF('NG Parameters'!$G$44="No",H154,K154)</f>
        <v>10.118499223478212</v>
      </c>
      <c r="F154" s="148">
        <f>F153*Conversions!$B$8</f>
        <v>0.11630458877561163</v>
      </c>
      <c r="G154" s="148">
        <f>F154*Conversions!$B$7</f>
        <v>4.1869651959220189</v>
      </c>
      <c r="H154" s="148">
        <f>F154*Conversions!$B$6</f>
        <v>10.118499223478212</v>
      </c>
      <c r="I154" s="148">
        <f>F154*(1+'NG Parameters'!$G$45/100)</f>
        <v>0.12793504765317282</v>
      </c>
      <c r="J154" s="148">
        <f>G154*(1+'NG Parameters'!$G$45/100)</f>
        <v>4.6056617155142208</v>
      </c>
      <c r="K154" s="148">
        <f>H154*(1+'NG Parameters'!$G$45/100)</f>
        <v>11.130349145826035</v>
      </c>
    </row>
    <row r="155" spans="1:11" x14ac:dyDescent="0.2">
      <c r="B155" s="43" t="s">
        <v>51</v>
      </c>
      <c r="C155" s="68">
        <f>IF('NG Parameters'!$G$44="No",F155,I155)</f>
        <v>0.84225024599577814</v>
      </c>
      <c r="D155" s="68">
        <f>IF('NG Parameters'!$G$44="No",G155,J155)</f>
        <v>30.321008855848014</v>
      </c>
      <c r="E155" s="68">
        <f>IF('NG Parameters'!$G$44="No",H155,K155)</f>
        <v>73.275771401632696</v>
      </c>
      <c r="F155" s="148">
        <f>SUM(E166:E180,E186:E188,E193:E194)</f>
        <v>0.84225024599577814</v>
      </c>
      <c r="G155" s="148">
        <f>F155*Conversions!$B$7</f>
        <v>30.321008855848014</v>
      </c>
      <c r="H155" s="148">
        <f>F155*Conversions!$B$6</f>
        <v>73.275771401632696</v>
      </c>
      <c r="I155" s="148">
        <f>F155*(1+'NG Parameters'!$G$45/100)</f>
        <v>0.92647527059535606</v>
      </c>
      <c r="J155" s="148">
        <f>G155*(1+'NG Parameters'!$G$45/100)</f>
        <v>33.353109741432817</v>
      </c>
      <c r="K155" s="148">
        <f>H155*(1+'NG Parameters'!$G$45/100)</f>
        <v>80.603348541795967</v>
      </c>
    </row>
    <row r="156" spans="1:11" x14ac:dyDescent="0.2">
      <c r="B156" s="46"/>
      <c r="C156" s="69"/>
    </row>
    <row r="157" spans="1:11" x14ac:dyDescent="0.2">
      <c r="B157" s="5" t="s">
        <v>24</v>
      </c>
      <c r="C157" s="17">
        <f>'NG Parameters'!$G$43</f>
        <v>1037</v>
      </c>
      <c r="D157" s="4" t="s">
        <v>102</v>
      </c>
    </row>
    <row r="158" spans="1:11" ht="16" x14ac:dyDescent="0.2">
      <c r="B158" s="5" t="s">
        <v>100</v>
      </c>
      <c r="C158" s="103">
        <f>Conversions!B$2</f>
        <v>51505.644797356501</v>
      </c>
      <c r="D158" s="21" t="s">
        <v>101</v>
      </c>
    </row>
    <row r="159" spans="1:11" ht="16" x14ac:dyDescent="0.2">
      <c r="B159" s="9" t="s">
        <v>44</v>
      </c>
      <c r="C159" s="104">
        <f>'NG Parameters'!$G$42</f>
        <v>6865.1911468812878</v>
      </c>
      <c r="D159" s="4" t="s">
        <v>45</v>
      </c>
    </row>
    <row r="160" spans="1:11" ht="16" x14ac:dyDescent="0.2">
      <c r="B160" s="5" t="s">
        <v>111</v>
      </c>
      <c r="C160" s="105">
        <f>Conversions!B$3</f>
        <v>35.31</v>
      </c>
      <c r="D160" s="21" t="s">
        <v>112</v>
      </c>
    </row>
    <row r="161" spans="2:7" x14ac:dyDescent="0.2">
      <c r="B161" s="19" t="s">
        <v>155</v>
      </c>
      <c r="C161" s="17">
        <f>Conversions!B$4</f>
        <v>600</v>
      </c>
      <c r="D161" s="23" t="s">
        <v>113</v>
      </c>
    </row>
    <row r="162" spans="2:7" x14ac:dyDescent="0.2">
      <c r="B162" s="100"/>
      <c r="C162" s="102"/>
      <c r="D162" s="101"/>
    </row>
    <row r="163" spans="2:7" x14ac:dyDescent="0.2">
      <c r="B163" s="70" t="s">
        <v>92</v>
      </c>
      <c r="C163" s="71"/>
      <c r="D163" s="72"/>
      <c r="E163" s="72"/>
    </row>
    <row r="164" spans="2:7" x14ac:dyDescent="0.2">
      <c r="B164" s="46"/>
      <c r="C164" s="69"/>
    </row>
    <row r="165" spans="2:7" x14ac:dyDescent="0.2">
      <c r="B165" s="46"/>
      <c r="C165" s="69" t="s">
        <v>33</v>
      </c>
      <c r="E165" s="3" t="s">
        <v>103</v>
      </c>
      <c r="F165" s="3" t="s">
        <v>195</v>
      </c>
      <c r="G165" s="2" t="s">
        <v>197</v>
      </c>
    </row>
    <row r="166" spans="2:7" x14ac:dyDescent="0.2">
      <c r="B166" s="73" t="s">
        <v>94</v>
      </c>
      <c r="C166" s="159">
        <f>'NG Parameters'!$G21/100</f>
        <v>8.9999999999999998E-4</v>
      </c>
      <c r="E166" s="56">
        <f>C166*10^6/C$158*10^3/(C$157*10^6)*C$159*1000</f>
        <v>0.11568087324877417</v>
      </c>
      <c r="F166" s="59">
        <f>E166/'NG Parameters'!$G$42*10^6*0.000948</f>
        <v>1.5974131745720821E-2</v>
      </c>
      <c r="G166" s="87">
        <f>F166*Conversions!$B$7</f>
        <v>0.57506874284594955</v>
      </c>
    </row>
    <row r="167" spans="2:7" x14ac:dyDescent="0.2">
      <c r="B167" s="73" t="s">
        <v>95</v>
      </c>
      <c r="D167" s="56"/>
      <c r="E167" s="47">
        <f>(C174)/C$158*C175/(C$157/10^6)*C$159</f>
        <v>0.29267777574085924</v>
      </c>
      <c r="F167" s="59">
        <f>E167/'NG Parameters'!$G$42*10^6*0.000948</f>
        <v>4.0415266737092698E-2</v>
      </c>
      <c r="G167" s="87">
        <f>F167*Conversions!$B$7</f>
        <v>1.4549496025353372</v>
      </c>
    </row>
    <row r="168" spans="2:7" x14ac:dyDescent="0.2">
      <c r="B168" s="26" t="s">
        <v>13</v>
      </c>
      <c r="C168" s="74">
        <f>'NG Parameters'!$G31/100</f>
        <v>1.5E-3</v>
      </c>
      <c r="D168" s="56"/>
      <c r="G168" s="59"/>
    </row>
    <row r="169" spans="2:7" x14ac:dyDescent="0.2">
      <c r="B169" s="26" t="s">
        <v>12</v>
      </c>
      <c r="C169" s="17">
        <f>'NG Parameters'!$G27</f>
        <v>821</v>
      </c>
      <c r="D169" s="4" t="s">
        <v>105</v>
      </c>
      <c r="G169" s="59"/>
    </row>
    <row r="170" spans="2:7" x14ac:dyDescent="0.2">
      <c r="B170" s="26" t="s">
        <v>171</v>
      </c>
      <c r="C170" s="17">
        <f>'NG Parameters'!$G28/2</f>
        <v>10000</v>
      </c>
      <c r="D170" s="4" t="s">
        <v>64</v>
      </c>
      <c r="E170" s="2" t="s">
        <v>172</v>
      </c>
      <c r="G170" s="59"/>
    </row>
    <row r="171" spans="2:7" x14ac:dyDescent="0.2">
      <c r="B171" s="26" t="s">
        <v>109</v>
      </c>
      <c r="C171" s="18">
        <f>C170/C169</f>
        <v>12.180267965895249</v>
      </c>
      <c r="D171" s="4" t="s">
        <v>107</v>
      </c>
      <c r="G171" s="59"/>
    </row>
    <row r="172" spans="2:7" x14ac:dyDescent="0.2">
      <c r="B172" s="26" t="s">
        <v>106</v>
      </c>
      <c r="C172" s="17">
        <f>'NG Parameters'!$G30</f>
        <v>3</v>
      </c>
      <c r="D172" s="4" t="s">
        <v>107</v>
      </c>
      <c r="G172" s="59"/>
    </row>
    <row r="173" spans="2:7" x14ac:dyDescent="0.2">
      <c r="B173" s="48" t="s">
        <v>110</v>
      </c>
      <c r="C173" s="60">
        <f>C171+C172</f>
        <v>15.180267965895249</v>
      </c>
      <c r="D173" s="24" t="s">
        <v>107</v>
      </c>
      <c r="G173" s="59"/>
    </row>
    <row r="174" spans="2:7" x14ac:dyDescent="0.2">
      <c r="B174" s="48" t="s">
        <v>114</v>
      </c>
      <c r="C174" s="75">
        <f>C173*C168</f>
        <v>2.2770401948842875E-2</v>
      </c>
      <c r="G174" s="59"/>
    </row>
    <row r="175" spans="2:7" x14ac:dyDescent="0.2">
      <c r="B175" s="48" t="s">
        <v>108</v>
      </c>
      <c r="C175" s="58">
        <f>'NG Parameters'!$G26/100</f>
        <v>0.1</v>
      </c>
      <c r="G175" s="59"/>
    </row>
    <row r="176" spans="2:7" x14ac:dyDescent="0.2">
      <c r="B176" s="48"/>
      <c r="G176" s="59"/>
    </row>
    <row r="177" spans="1:7" x14ac:dyDescent="0.2">
      <c r="A177" s="2" t="s">
        <v>91</v>
      </c>
      <c r="B177" s="73" t="s">
        <v>96</v>
      </c>
      <c r="C177" s="159">
        <f>'NG Parameters'!$G34/100</f>
        <v>8.9999999999999998E-4</v>
      </c>
      <c r="E177" s="56">
        <f>C177*10^6/C$158*10^3/(C$157*10^6)*C$159*1000</f>
        <v>0.11568087324877417</v>
      </c>
      <c r="F177" s="59">
        <f>E177/'NG Parameters'!$G$42*10^6*0.000948</f>
        <v>1.5974131745720821E-2</v>
      </c>
      <c r="G177" s="87">
        <f>F177*Conversions!$B$7</f>
        <v>0.57506874284594955</v>
      </c>
    </row>
    <row r="178" spans="1:7" x14ac:dyDescent="0.2">
      <c r="B178" s="76" t="s">
        <v>97</v>
      </c>
      <c r="C178" s="159">
        <f>'NG Parameters'!$G39/100</f>
        <v>2.9999999999999997E-4</v>
      </c>
      <c r="E178" s="56">
        <f>C178*10^6/C$158*10^3/(C$157*10^6)*C$159*1000</f>
        <v>3.8560291082924712E-2</v>
      </c>
      <c r="F178" s="59">
        <f>E178/'NG Parameters'!$G$42*10^6*0.000948</f>
        <v>5.3247105819069383E-3</v>
      </c>
      <c r="G178" s="87">
        <f>F178*Conversions!$B$7</f>
        <v>0.19168958094864977</v>
      </c>
    </row>
    <row r="179" spans="1:7" x14ac:dyDescent="0.2">
      <c r="B179" s="76" t="s">
        <v>98</v>
      </c>
      <c r="C179" s="159">
        <f>'NG Parameters'!$G40/100</f>
        <v>2.9999999999999997E-4</v>
      </c>
      <c r="E179" s="56">
        <f>C179*10^6/C$158*10^3/(C$157*10^6)*C$159*1000</f>
        <v>3.8560291082924712E-2</v>
      </c>
      <c r="F179" s="59">
        <f>E179/'NG Parameters'!$G$42*10^6*0.000948</f>
        <v>5.3247105819069383E-3</v>
      </c>
      <c r="G179" s="87">
        <f>F179*Conversions!$B$7</f>
        <v>0.19168958094864977</v>
      </c>
    </row>
    <row r="180" spans="1:7" x14ac:dyDescent="0.2">
      <c r="B180" s="76" t="s">
        <v>99</v>
      </c>
      <c r="C180" s="159">
        <f>'NG Parameters'!$G41/100</f>
        <v>2.9999999999999997E-4</v>
      </c>
      <c r="E180" s="56">
        <f>C180*10^6/C$158*10^3/(C$157*10^6)*C$159*1000</f>
        <v>3.8560291082924712E-2</v>
      </c>
      <c r="F180" s="59">
        <f>E180/'NG Parameters'!$G$42*10^6*0.000948</f>
        <v>5.3247105819069383E-3</v>
      </c>
      <c r="G180" s="87">
        <f>F180*Conversions!$B$7</f>
        <v>0.19168958094864977</v>
      </c>
    </row>
    <row r="181" spans="1:7" x14ac:dyDescent="0.2">
      <c r="B181" s="76"/>
      <c r="C181" s="77"/>
      <c r="G181" s="59"/>
    </row>
    <row r="182" spans="1:7" x14ac:dyDescent="0.2">
      <c r="B182" s="76"/>
      <c r="C182" s="77"/>
      <c r="G182" s="59"/>
    </row>
    <row r="183" spans="1:7" x14ac:dyDescent="0.2">
      <c r="B183" s="78" t="s">
        <v>93</v>
      </c>
      <c r="C183" s="79"/>
      <c r="D183" s="72"/>
      <c r="E183" s="72"/>
      <c r="G183" s="59"/>
    </row>
    <row r="184" spans="1:7" s="80" customFormat="1" x14ac:dyDescent="0.2">
      <c r="B184" s="81"/>
      <c r="C184" s="77"/>
      <c r="G184" s="87"/>
    </row>
    <row r="185" spans="1:7" s="80" customFormat="1" x14ac:dyDescent="0.2">
      <c r="B185" s="81"/>
      <c r="C185" s="77" t="s">
        <v>119</v>
      </c>
      <c r="D185" s="80" t="s">
        <v>11</v>
      </c>
      <c r="E185" s="3" t="s">
        <v>103</v>
      </c>
      <c r="F185" s="3" t="s">
        <v>195</v>
      </c>
      <c r="G185" s="87"/>
    </row>
    <row r="186" spans="1:7" s="80" customFormat="1" x14ac:dyDescent="0.2">
      <c r="B186" s="73" t="s">
        <v>94</v>
      </c>
      <c r="C186" s="160">
        <f>'NG Parameters'!$G24/100</f>
        <v>9.300000000000001E-3</v>
      </c>
      <c r="D186" s="58">
        <f>'NG Parameters'!$G22/100</f>
        <v>0.1</v>
      </c>
      <c r="E186" s="84">
        <f>D186*C186*10^6/C$158/C$157*C$159</f>
        <v>0.11953690235706665</v>
      </c>
      <c r="F186" s="59">
        <f>E186/'NG Parameters'!$G$42*10^6*0.000948</f>
        <v>1.6506602803911516E-2</v>
      </c>
      <c r="G186" s="87">
        <f>F186*Conversions!$B$7</f>
        <v>0.59423770094081463</v>
      </c>
    </row>
    <row r="187" spans="1:7" s="80" customFormat="1" x14ac:dyDescent="0.2">
      <c r="B187" s="85" t="s">
        <v>95</v>
      </c>
      <c r="C187" s="160">
        <f>'NG Parameters'!$G32/100</f>
        <v>1.7000000000000001E-2</v>
      </c>
      <c r="D187" s="83"/>
      <c r="E187" s="86">
        <f>C187/C157*10^6/C$158*C$174*(1-C$175)*C$159</f>
        <v>4.4779699688351465E-2</v>
      </c>
      <c r="F187" s="59">
        <f>E187/'NG Parameters'!$G$42*10^6*0.000948</f>
        <v>6.1835358107751827E-3</v>
      </c>
      <c r="G187" s="87">
        <f>F187*Conversions!$B$7</f>
        <v>0.22260728918790657</v>
      </c>
    </row>
    <row r="188" spans="1:7" x14ac:dyDescent="0.2">
      <c r="B188" s="73" t="s">
        <v>96</v>
      </c>
      <c r="C188" s="160">
        <f>'NG Parameters'!$G37/100</f>
        <v>9.300000000000001E-3</v>
      </c>
      <c r="D188" s="159">
        <f>'NG Parameters'!$G35/100</f>
        <v>1.1000000000000001E-2</v>
      </c>
      <c r="E188" s="84">
        <f>D188*C188*10^6/C$158/C$157*C$159</f>
        <v>1.3149059259277332E-2</v>
      </c>
      <c r="F188" s="59">
        <f>E188/'NG Parameters'!$G$42*10^6*0.000948</f>
        <v>1.8157263084302667E-3</v>
      </c>
      <c r="G188" s="87">
        <f>F188*Conversions!$B$7</f>
        <v>6.5366147103489605E-2</v>
      </c>
    </row>
    <row r="189" spans="1:7" s="80" customFormat="1" x14ac:dyDescent="0.2">
      <c r="B189" s="55"/>
      <c r="C189" s="87"/>
    </row>
    <row r="190" spans="1:7" x14ac:dyDescent="0.2">
      <c r="B190" s="78" t="s">
        <v>362</v>
      </c>
      <c r="C190" s="79"/>
      <c r="D190" s="72"/>
      <c r="E190" s="72"/>
      <c r="F190" s="59"/>
      <c r="G190" s="87"/>
    </row>
    <row r="191" spans="1:7" x14ac:dyDescent="0.2">
      <c r="B191" s="201"/>
      <c r="C191" s="77"/>
      <c r="D191" s="80"/>
      <c r="E191" s="80"/>
      <c r="F191" s="59"/>
      <c r="G191" s="87"/>
    </row>
    <row r="192" spans="1:7" x14ac:dyDescent="0.2">
      <c r="B192" s="201"/>
      <c r="C192" s="77" t="s">
        <v>366</v>
      </c>
      <c r="D192" s="77" t="s">
        <v>115</v>
      </c>
      <c r="E192" s="3" t="s">
        <v>103</v>
      </c>
      <c r="F192" s="3" t="s">
        <v>195</v>
      </c>
      <c r="G192" s="2" t="s">
        <v>197</v>
      </c>
    </row>
    <row r="193" spans="1:7" x14ac:dyDescent="0.2">
      <c r="B193" s="73" t="s">
        <v>94</v>
      </c>
      <c r="C193" s="203">
        <f>'NG Parameters'!G25/100</f>
        <v>0.05</v>
      </c>
      <c r="D193" s="204">
        <f>'NG Parameters'!$G$23/100</f>
        <v>3.0000000000000001E-3</v>
      </c>
      <c r="E193" s="84">
        <f>D193*C193*10^6/C$158/C$157*C$159</f>
        <v>1.928014554146236E-2</v>
      </c>
      <c r="F193" s="207">
        <f>E193/'NG Parameters'!$G$42*10^6*0.000948</f>
        <v>2.6623552909534696E-3</v>
      </c>
      <c r="G193" s="208">
        <f>F193*Conversions!$B$7</f>
        <v>9.5844790474324898E-2</v>
      </c>
    </row>
    <row r="194" spans="1:7" x14ac:dyDescent="0.2">
      <c r="B194" s="73" t="s">
        <v>96</v>
      </c>
      <c r="C194" s="203">
        <f>'NG Parameters'!G38/100</f>
        <v>0.05</v>
      </c>
      <c r="D194" s="204">
        <f>'NG Parameters'!$G$36/100</f>
        <v>8.9999999999999998E-4</v>
      </c>
      <c r="E194" s="84">
        <f>D194*C194*10^6/C$158/C$157*C$159</f>
        <v>5.7840436624387081E-3</v>
      </c>
      <c r="F194" s="207">
        <f>E194/'NG Parameters'!$G$42*10^6*0.000948</f>
        <v>7.9870658728604092E-4</v>
      </c>
      <c r="G194" s="208">
        <f>F194*Conversions!$B$7</f>
        <v>2.8753437142297472E-2</v>
      </c>
    </row>
    <row r="195" spans="1:7" s="80" customFormat="1" x14ac:dyDescent="0.2">
      <c r="B195" s="55"/>
      <c r="C195" s="87"/>
    </row>
    <row r="196" spans="1:7" s="39" customFormat="1" x14ac:dyDescent="0.2">
      <c r="A196" s="39" t="s">
        <v>180</v>
      </c>
    </row>
    <row r="197" spans="1:7" x14ac:dyDescent="0.2">
      <c r="B197" s="40" t="s">
        <v>42</v>
      </c>
      <c r="C197" s="41"/>
      <c r="D197" s="146"/>
      <c r="E197" s="146"/>
    </row>
    <row r="198" spans="1:7" x14ac:dyDescent="0.2">
      <c r="B198" s="41"/>
      <c r="C198" s="40" t="s">
        <v>71</v>
      </c>
      <c r="D198" s="144" t="s">
        <v>228</v>
      </c>
      <c r="E198" s="144" t="s">
        <v>225</v>
      </c>
    </row>
    <row r="199" spans="1:7" x14ac:dyDescent="0.2">
      <c r="B199" s="43" t="s">
        <v>49</v>
      </c>
      <c r="C199" s="63">
        <f>IF('NG Parameters'!$G$44="No",D199,E199)</f>
        <v>5721.7689898273784</v>
      </c>
      <c r="D199" s="148">
        <f>C215/C220*10^12</f>
        <v>5721.7689898273784</v>
      </c>
      <c r="E199" s="148">
        <f>D199*(1+'NG Parameters'!$G$45/100)</f>
        <v>6293.9458888101171</v>
      </c>
    </row>
    <row r="200" spans="1:7" x14ac:dyDescent="0.2">
      <c r="B200" s="43" t="s">
        <v>50</v>
      </c>
      <c r="C200" s="63">
        <f>IF('NG Parameters'!$G$44="No",D200,E200)</f>
        <v>5.4242370023563549</v>
      </c>
      <c r="D200" s="148">
        <f>D199*Conversions!$B$8</f>
        <v>5.4242370023563549</v>
      </c>
      <c r="E200" s="148">
        <f>D200*(1+'NG Parameters'!$G$45/100)</f>
        <v>5.9666607025919909</v>
      </c>
    </row>
    <row r="201" spans="1:7" x14ac:dyDescent="0.2">
      <c r="A201" s="2" t="s">
        <v>91</v>
      </c>
      <c r="B201" s="43" t="s">
        <v>51</v>
      </c>
      <c r="C201" s="63">
        <f>IF('NG Parameters'!$G$44="No",D201,E201)</f>
        <v>39.28103781346281</v>
      </c>
      <c r="D201" s="148">
        <f>D199*C$203/10^6</f>
        <v>39.28103781346281</v>
      </c>
      <c r="E201" s="148">
        <f>D201*(1+'NG Parameters'!$G$45/100)</f>
        <v>43.209141594809097</v>
      </c>
    </row>
    <row r="203" spans="1:7" ht="16" x14ac:dyDescent="0.2">
      <c r="B203" s="9" t="s">
        <v>44</v>
      </c>
      <c r="C203" s="104">
        <f>'NG Parameters'!$G$42</f>
        <v>6865.1911468812878</v>
      </c>
      <c r="D203" s="4" t="s">
        <v>45</v>
      </c>
    </row>
    <row r="204" spans="1:7" x14ac:dyDescent="0.2">
      <c r="B204" s="3" t="s">
        <v>78</v>
      </c>
      <c r="C204" s="2" t="s">
        <v>21</v>
      </c>
      <c r="D204" s="2" t="s">
        <v>214</v>
      </c>
    </row>
    <row r="205" spans="1:7" x14ac:dyDescent="0.2">
      <c r="B205" s="55" t="s">
        <v>84</v>
      </c>
      <c r="C205" s="47">
        <f>490.799070796337/10^3</f>
        <v>0.490799070796337</v>
      </c>
      <c r="E205" s="56"/>
    </row>
    <row r="206" spans="1:7" x14ac:dyDescent="0.2">
      <c r="B206" s="55" t="s">
        <v>82</v>
      </c>
      <c r="D206" s="47">
        <f>D210/51506*10^3*'NG Parameters'!$G50/100*44/16</f>
        <v>44.459823855473147</v>
      </c>
      <c r="E206" s="141"/>
    </row>
    <row r="207" spans="1:7" x14ac:dyDescent="0.2">
      <c r="B207" s="80" t="s">
        <v>23</v>
      </c>
      <c r="D207" s="87">
        <f>SUM(C205:D206)</f>
        <v>44.950622926269482</v>
      </c>
      <c r="E207" s="56"/>
      <c r="F207" s="87"/>
    </row>
    <row r="208" spans="1:7" x14ac:dyDescent="0.2">
      <c r="B208" s="80"/>
      <c r="C208" s="87"/>
      <c r="D208" s="2" t="s">
        <v>83</v>
      </c>
    </row>
    <row r="209" spans="1:6" x14ac:dyDescent="0.2">
      <c r="B209" s="80"/>
      <c r="C209" s="87"/>
      <c r="D209" s="3" t="s">
        <v>81</v>
      </c>
    </row>
    <row r="210" spans="1:6" x14ac:dyDescent="0.2">
      <c r="B210" s="80"/>
      <c r="C210" s="87"/>
      <c r="D210" s="88">
        <v>876.53499999999997</v>
      </c>
    </row>
    <row r="211" spans="1:6" x14ac:dyDescent="0.2">
      <c r="B211" s="172" t="s">
        <v>340</v>
      </c>
      <c r="C211" s="90">
        <v>972</v>
      </c>
      <c r="D211" s="5" t="s">
        <v>63</v>
      </c>
    </row>
    <row r="212" spans="1:6" x14ac:dyDescent="0.2">
      <c r="B212" s="172" t="s">
        <v>341</v>
      </c>
      <c r="C212" s="87">
        <f>D207/C211</f>
        <v>4.6245496837725802E-2</v>
      </c>
      <c r="D212" s="165" t="s">
        <v>342</v>
      </c>
    </row>
    <row r="213" spans="1:6" x14ac:dyDescent="0.2">
      <c r="B213" s="172" t="s">
        <v>343</v>
      </c>
      <c r="C213" s="54">
        <f>'NG Parameters'!$G19</f>
        <v>4.6245496837725802E-2</v>
      </c>
      <c r="D213" s="165" t="s">
        <v>342</v>
      </c>
    </row>
    <row r="214" spans="1:6" x14ac:dyDescent="0.2">
      <c r="B214" s="164" t="s">
        <v>344</v>
      </c>
      <c r="C214" s="17">
        <f>'NG Parameters'!$G10+'NG Parameters'!$G13</f>
        <v>4000</v>
      </c>
      <c r="D214" s="170" t="s">
        <v>321</v>
      </c>
    </row>
    <row r="215" spans="1:6" x14ac:dyDescent="0.2">
      <c r="B215" s="172" t="s">
        <v>345</v>
      </c>
      <c r="C215" s="87">
        <f>C213*C$214</f>
        <v>184.98198735090321</v>
      </c>
      <c r="D215" s="2" t="s">
        <v>86</v>
      </c>
      <c r="F215" s="2" t="s">
        <v>91</v>
      </c>
    </row>
    <row r="217" spans="1:6" x14ac:dyDescent="0.2">
      <c r="B217" s="55" t="s">
        <v>157</v>
      </c>
      <c r="C217" s="65">
        <f>C50</f>
        <v>27568.156999999999</v>
      </c>
      <c r="D217" s="2" t="s">
        <v>81</v>
      </c>
    </row>
    <row r="218" spans="1:6" x14ac:dyDescent="0.2">
      <c r="B218" s="55" t="s">
        <v>158</v>
      </c>
      <c r="C218" s="65">
        <f>C51</f>
        <v>3607.8409999999999</v>
      </c>
      <c r="D218" s="2" t="s">
        <v>81</v>
      </c>
    </row>
    <row r="219" spans="1:6" x14ac:dyDescent="0.2">
      <c r="B219" s="55" t="s">
        <v>159</v>
      </c>
      <c r="C219" s="65">
        <f>C52</f>
        <v>31175.998</v>
      </c>
      <c r="D219" s="2" t="s">
        <v>81</v>
      </c>
    </row>
    <row r="220" spans="1:6" x14ac:dyDescent="0.2">
      <c r="B220" s="46" t="s">
        <v>160</v>
      </c>
      <c r="C220" s="65">
        <f>C54</f>
        <v>32329509926</v>
      </c>
      <c r="D220" s="2" t="s">
        <v>156</v>
      </c>
    </row>
    <row r="221" spans="1:6" x14ac:dyDescent="0.2">
      <c r="B221" s="46"/>
      <c r="C221" s="60"/>
    </row>
    <row r="222" spans="1:6" s="39" customFormat="1" x14ac:dyDescent="0.2">
      <c r="A222" s="39" t="s">
        <v>75</v>
      </c>
    </row>
    <row r="223" spans="1:6" x14ac:dyDescent="0.2">
      <c r="B223" s="40" t="s">
        <v>42</v>
      </c>
      <c r="C223" s="41"/>
      <c r="D223" s="148"/>
      <c r="E223" s="148"/>
    </row>
    <row r="224" spans="1:6" x14ac:dyDescent="0.2">
      <c r="B224" s="43"/>
      <c r="C224" s="40" t="s">
        <v>71</v>
      </c>
      <c r="D224" s="145" t="s">
        <v>228</v>
      </c>
      <c r="E224" s="145" t="s">
        <v>225</v>
      </c>
    </row>
    <row r="225" spans="2:6" x14ac:dyDescent="0.2">
      <c r="B225" s="43" t="s">
        <v>49</v>
      </c>
      <c r="C225" s="68">
        <f>IF('NG Parameters'!$G$44="No",D225,E225)</f>
        <v>7504.3867861161152</v>
      </c>
      <c r="D225" s="148">
        <f>D227/'NG Parameters'!$G$42*10^6</f>
        <v>7504.3867861161152</v>
      </c>
      <c r="E225" s="148">
        <f>D225*(1+'NG Parameters'!$G$45/100)</f>
        <v>8254.8254647277281</v>
      </c>
    </row>
    <row r="226" spans="2:6" x14ac:dyDescent="0.2">
      <c r="B226" s="43" t="s">
        <v>50</v>
      </c>
      <c r="C226" s="68">
        <f>IF('NG Parameters'!$G$44="No",D226,E226)</f>
        <v>7.1141586732380766</v>
      </c>
      <c r="D226" s="148">
        <f>D225*Conversions!$B$8</f>
        <v>7.1141586732380766</v>
      </c>
      <c r="E226" s="148">
        <f>D226*(1+'NG Parameters'!$G$45/100)</f>
        <v>7.8255745405618846</v>
      </c>
    </row>
    <row r="227" spans="2:6" x14ac:dyDescent="0.2">
      <c r="B227" s="43" t="s">
        <v>51</v>
      </c>
      <c r="C227" s="68">
        <f>IF('NG Parameters'!$G$44="No",D227,E227)</f>
        <v>51.519049726817272</v>
      </c>
      <c r="D227" s="148">
        <f>SUM(E249:E250)+SUM(E236:E245)</f>
        <v>51.519049726817272</v>
      </c>
      <c r="E227" s="148">
        <f>D227*(1+'NG Parameters'!$G$45/100)</f>
        <v>56.670954699499006</v>
      </c>
    </row>
    <row r="228" spans="2:6" x14ac:dyDescent="0.2">
      <c r="B228" s="46"/>
      <c r="C228" s="69"/>
    </row>
    <row r="229" spans="2:6" ht="16" x14ac:dyDescent="0.2">
      <c r="B229" s="9" t="s">
        <v>44</v>
      </c>
      <c r="C229" s="104">
        <f>'NG Parameters'!$G$42</f>
        <v>6865.1911468812878</v>
      </c>
      <c r="D229" s="26" t="s">
        <v>45</v>
      </c>
    </row>
    <row r="230" spans="2:6" ht="16" x14ac:dyDescent="0.2">
      <c r="B230" s="20" t="s">
        <v>66</v>
      </c>
      <c r="C230" s="109">
        <f>Conversions!B9</f>
        <v>14.43</v>
      </c>
      <c r="D230" s="26" t="s">
        <v>69</v>
      </c>
    </row>
    <row r="231" spans="2:6" ht="16" x14ac:dyDescent="0.2">
      <c r="B231" s="9" t="s">
        <v>126</v>
      </c>
      <c r="C231" s="110">
        <f>Conversions!B$5</f>
        <v>3.6666666666666665</v>
      </c>
      <c r="D231" s="26" t="s">
        <v>116</v>
      </c>
    </row>
    <row r="232" spans="2:6" x14ac:dyDescent="0.2">
      <c r="B232" s="46"/>
      <c r="C232" s="69"/>
    </row>
    <row r="233" spans="2:6" s="66" customFormat="1" x14ac:dyDescent="0.2">
      <c r="B233" s="78" t="s">
        <v>118</v>
      </c>
      <c r="C233" s="79"/>
      <c r="D233" s="72"/>
      <c r="E233" s="72"/>
    </row>
    <row r="234" spans="2:6" s="66" customFormat="1" x14ac:dyDescent="0.2"/>
    <row r="235" spans="2:6" s="66" customFormat="1" x14ac:dyDescent="0.2">
      <c r="C235" s="66" t="s">
        <v>124</v>
      </c>
      <c r="E235" s="3" t="s">
        <v>103</v>
      </c>
      <c r="F235" s="132" t="s">
        <v>195</v>
      </c>
    </row>
    <row r="236" spans="2:6" s="66" customFormat="1" x14ac:dyDescent="0.2">
      <c r="B236" s="73" t="s">
        <v>94</v>
      </c>
      <c r="C236" s="92">
        <f>'NG Parameters'!$G22/100</f>
        <v>0.1</v>
      </c>
      <c r="E236" s="93">
        <f>C236*C$230/10^3*C$231*C$229</f>
        <v>36.323726358148889</v>
      </c>
      <c r="F236" s="133">
        <f>E236/'NG Parameters'!$G$42*10^6*0.000948</f>
        <v>5.0158679999999993</v>
      </c>
    </row>
    <row r="237" spans="2:6" s="66" customFormat="1" x14ac:dyDescent="0.2">
      <c r="B237" s="73" t="s">
        <v>95</v>
      </c>
      <c r="C237" s="92"/>
      <c r="E237" s="93">
        <f>C$241*C$243/(C$242*C$238/10^6*C$239*C$240*10^3)*C$229</f>
        <v>9.7830881413041997</v>
      </c>
      <c r="F237" s="133">
        <f>E237/'NG Parameters'!$G$42*10^6*0.000948</f>
        <v>1.3509263412380779</v>
      </c>
    </row>
    <row r="238" spans="2:6" s="66" customFormat="1" x14ac:dyDescent="0.2">
      <c r="B238" s="113" t="s">
        <v>24</v>
      </c>
      <c r="C238" s="17">
        <f>'NG Parameters'!$G$43</f>
        <v>1037</v>
      </c>
      <c r="D238" s="26" t="s">
        <v>102</v>
      </c>
      <c r="E238" s="93"/>
    </row>
    <row r="239" spans="2:6" s="66" customFormat="1" ht="16" x14ac:dyDescent="0.2">
      <c r="B239" s="113" t="s">
        <v>111</v>
      </c>
      <c r="C239" s="105">
        <f>Conversions!B$3</f>
        <v>35.31</v>
      </c>
      <c r="D239" s="111" t="s">
        <v>112</v>
      </c>
      <c r="E239" s="93"/>
    </row>
    <row r="240" spans="2:6" s="66" customFormat="1" x14ac:dyDescent="0.2">
      <c r="B240" s="114" t="s">
        <v>155</v>
      </c>
      <c r="C240" s="17">
        <f>Conversions!B$4</f>
        <v>600</v>
      </c>
      <c r="D240" s="112" t="s">
        <v>113</v>
      </c>
      <c r="E240" s="93"/>
    </row>
    <row r="241" spans="1:6" s="66" customFormat="1" x14ac:dyDescent="0.2">
      <c r="B241" s="113" t="s">
        <v>104</v>
      </c>
      <c r="C241" s="17">
        <f>'NG Parameters'!$G28</f>
        <v>20000</v>
      </c>
      <c r="D241" s="26" t="s">
        <v>64</v>
      </c>
      <c r="E241" s="2" t="s">
        <v>173</v>
      </c>
    </row>
    <row r="242" spans="1:6" s="66" customFormat="1" x14ac:dyDescent="0.2">
      <c r="B242" s="113" t="s">
        <v>121</v>
      </c>
      <c r="C242" s="17">
        <f>'NG Parameters'!$G29</f>
        <v>260000</v>
      </c>
      <c r="D242" s="26" t="s">
        <v>122</v>
      </c>
      <c r="E242" s="93"/>
    </row>
    <row r="243" spans="1:6" s="66" customFormat="1" x14ac:dyDescent="0.2">
      <c r="B243" s="113" t="s">
        <v>85</v>
      </c>
      <c r="C243" s="17">
        <f>'NG Parameters'!$G33</f>
        <v>407</v>
      </c>
      <c r="D243" s="26" t="s">
        <v>123</v>
      </c>
      <c r="E243" s="93"/>
    </row>
    <row r="244" spans="1:6" s="66" customFormat="1" x14ac:dyDescent="0.2">
      <c r="B244" s="73" t="s">
        <v>96</v>
      </c>
      <c r="C244" s="92">
        <f>'NG Parameters'!$G35/100</f>
        <v>1.1000000000000001E-2</v>
      </c>
      <c r="E244" s="93">
        <f>C244*C$230/10^3*C$231*C$229</f>
        <v>3.9956098993963791</v>
      </c>
      <c r="F244" s="133">
        <f>E244/'NG Parameters'!$G$42*10^6*0.000948</f>
        <v>0.55174548000000012</v>
      </c>
    </row>
    <row r="245" spans="1:6" s="66" customFormat="1" x14ac:dyDescent="0.2">
      <c r="B245" s="73"/>
    </row>
    <row r="246" spans="1:6" x14ac:dyDescent="0.2">
      <c r="B246" s="78" t="s">
        <v>117</v>
      </c>
      <c r="C246" s="79"/>
      <c r="D246" s="72"/>
      <c r="E246" s="72"/>
    </row>
    <row r="247" spans="1:6" s="80" customFormat="1" x14ac:dyDescent="0.2">
      <c r="A247" s="80" t="s">
        <v>91</v>
      </c>
      <c r="B247" s="81"/>
      <c r="C247" s="77"/>
    </row>
    <row r="248" spans="1:6" s="80" customFormat="1" x14ac:dyDescent="0.2">
      <c r="B248" s="81"/>
      <c r="C248" s="77" t="s">
        <v>115</v>
      </c>
      <c r="E248" s="3" t="s">
        <v>103</v>
      </c>
      <c r="F248" s="132" t="s">
        <v>195</v>
      </c>
    </row>
    <row r="249" spans="1:6" s="80" customFormat="1" x14ac:dyDescent="0.2">
      <c r="B249" s="81" t="s">
        <v>94</v>
      </c>
      <c r="C249" s="94">
        <f>'NG Parameters'!$G$23/100</f>
        <v>3.0000000000000001E-3</v>
      </c>
      <c r="E249" s="93">
        <f>C249*C$230/10^3*C$231*C$229</f>
        <v>1.0897117907444667</v>
      </c>
      <c r="F249" s="87">
        <f>E249/'NG Parameters'!$G$42*10^6*0.000948</f>
        <v>0.15047603999999998</v>
      </c>
    </row>
    <row r="250" spans="1:6" s="80" customFormat="1" x14ac:dyDescent="0.2">
      <c r="B250" s="81" t="s">
        <v>96</v>
      </c>
      <c r="C250" s="94">
        <f>'NG Parameters'!$G$36/100</f>
        <v>8.9999999999999998E-4</v>
      </c>
      <c r="E250" s="93">
        <f>C250*C$230/10^3*C$231*C$229</f>
        <v>0.32691353722333999</v>
      </c>
      <c r="F250" s="87">
        <f>E250/'NG Parameters'!$G$42*10^6*0.000948</f>
        <v>4.5142811999999991E-2</v>
      </c>
    </row>
    <row r="251" spans="1:6" s="80" customFormat="1" x14ac:dyDescent="0.2">
      <c r="B251" s="81"/>
      <c r="C251" s="94"/>
      <c r="E251" s="47"/>
    </row>
    <row r="252" spans="1:6" s="39" customFormat="1" x14ac:dyDescent="0.2">
      <c r="A252" s="39" t="s">
        <v>76</v>
      </c>
    </row>
    <row r="253" spans="1:6" x14ac:dyDescent="0.2">
      <c r="B253" s="43" t="s">
        <v>42</v>
      </c>
      <c r="C253" s="42" t="s">
        <v>71</v>
      </c>
      <c r="D253" s="144" t="s">
        <v>228</v>
      </c>
      <c r="E253" s="144" t="s">
        <v>225</v>
      </c>
    </row>
    <row r="254" spans="1:6" x14ac:dyDescent="0.2">
      <c r="B254" s="43" t="s">
        <v>49</v>
      </c>
      <c r="C254" s="63">
        <f>IF('NG Parameters'!$G$44="No",D254,E254)</f>
        <v>52910</v>
      </c>
      <c r="D254" s="145">
        <f>C256/C$258*10^6</f>
        <v>52910</v>
      </c>
      <c r="E254" s="145">
        <f>D254*(1-'NG Parameters'!$G$46/100)*(1+'NG Parameters'!$G$45/100)</f>
        <v>5820.0999999999995</v>
      </c>
    </row>
    <row r="255" spans="1:6" x14ac:dyDescent="0.2">
      <c r="B255" s="43" t="s">
        <v>50</v>
      </c>
      <c r="C255" s="63">
        <f>IF('NG Parameters'!$G$44="No",D255,E255)</f>
        <v>50.158679999999997</v>
      </c>
      <c r="D255" s="145">
        <f>C254*Conversions!$B$8</f>
        <v>50.158679999999997</v>
      </c>
      <c r="E255" s="145">
        <f>D255*(1-'NG Parameters'!$G$46/100)*(1+'NG Parameters'!$G$45/100)</f>
        <v>5.5174547999999985</v>
      </c>
    </row>
    <row r="256" spans="1:6" x14ac:dyDescent="0.2">
      <c r="B256" s="43" t="s">
        <v>51</v>
      </c>
      <c r="C256" s="63">
        <f>IF('NG Parameters'!$G$44="No",D256,E256)</f>
        <v>363.23726358148895</v>
      </c>
      <c r="D256" s="145">
        <f>C258*C261/10^3</f>
        <v>363.23726358148895</v>
      </c>
      <c r="E256" s="145">
        <f>D256*(1-'NG Parameters'!$G$46/100)*(1+'NG Parameters'!$G$45/100)</f>
        <v>39.956098993963778</v>
      </c>
    </row>
    <row r="258" spans="1:5" x14ac:dyDescent="0.2">
      <c r="B258" s="2" t="s">
        <v>44</v>
      </c>
      <c r="C258" s="57">
        <f>'NG Parameters'!$G$42</f>
        <v>6865.1911468812878</v>
      </c>
      <c r="D258" s="26" t="s">
        <v>45</v>
      </c>
    </row>
    <row r="259" spans="1:5" x14ac:dyDescent="0.2">
      <c r="B259" s="46" t="s">
        <v>68</v>
      </c>
      <c r="C259" s="89">
        <f>Conversions!B9</f>
        <v>14.43</v>
      </c>
      <c r="D259" s="48" t="s">
        <v>67</v>
      </c>
    </row>
    <row r="260" spans="1:5" ht="16" x14ac:dyDescent="0.2">
      <c r="B260" s="9" t="s">
        <v>126</v>
      </c>
      <c r="C260" s="110">
        <f>Conversions!B$5</f>
        <v>3.6666666666666665</v>
      </c>
      <c r="D260" s="26" t="s">
        <v>116</v>
      </c>
      <c r="E260" s="59"/>
    </row>
    <row r="261" spans="1:5" x14ac:dyDescent="0.2">
      <c r="A261" s="2" t="s">
        <v>91</v>
      </c>
      <c r="B261" s="46"/>
      <c r="C261" s="59">
        <f>C259*C260</f>
        <v>52.91</v>
      </c>
      <c r="D261" s="48" t="s">
        <v>65</v>
      </c>
    </row>
    <row r="262" spans="1:5" x14ac:dyDescent="0.2">
      <c r="C262" s="69"/>
    </row>
  </sheetData>
  <hyperlinks>
    <hyperlink ref="E48" r:id="rId1" xr:uid="{4C0AF815-F981-854D-94C4-F6E613BBFA1F}"/>
    <hyperlink ref="E51" r:id="rId2" xr:uid="{C8C9FB10-8FF3-8542-A5BC-46E6C6FE3061}"/>
    <hyperlink ref="E50" r:id="rId3" xr:uid="{8DDFA258-EF68-F34A-8235-CC7689B163C4}"/>
    <hyperlink ref="F140" r:id="rId4" xr:uid="{D5380D9C-971E-EA4F-902F-0788F60CE0EE}"/>
    <hyperlink ref="F143" r:id="rId5" xr:uid="{997FB786-5611-674A-B667-7D9AEC5B84DD}"/>
    <hyperlink ref="F142" r:id="rId6" xr:uid="{7CE36A22-36D4-034D-B3DC-E9C00A3B1F55}"/>
    <hyperlink ref="L26" r:id="rId7" xr:uid="{3A5D2691-FD46-9345-AE07-80D020FF11FE}"/>
    <hyperlink ref="L27" r:id="rId8" xr:uid="{159BCBD5-0450-FD41-AA0D-C622F226335E}"/>
    <hyperlink ref="K26" r:id="rId9" xr:uid="{84B1FD5D-8E09-4D47-901F-362208E12539}"/>
    <hyperlink ref="U79" r:id="rId10" xr:uid="{9E9488CC-157C-1F42-B805-BAEE471D585D}"/>
    <hyperlink ref="U85" r:id="rId11" xr:uid="{6ECADD1B-5767-3840-B57A-139A8719E999}"/>
  </hyperlink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5449E-9E0D-1846-ACD9-BF552B3FE252}">
  <sheetPr codeName="Sheet8">
    <tabColor theme="8"/>
  </sheetPr>
  <dimension ref="A1:M49"/>
  <sheetViews>
    <sheetView zoomScale="119" workbookViewId="0">
      <pane xSplit="1" ySplit="2" topLeftCell="B4" activePane="bottomRight" state="frozen"/>
      <selection pane="topRight" activeCell="B1" sqref="B1"/>
      <selection pane="bottomLeft" activeCell="A3" sqref="A3"/>
      <selection pane="bottomRight" activeCell="D24" sqref="D24"/>
    </sheetView>
  </sheetViews>
  <sheetFormatPr baseColWidth="10" defaultColWidth="24.83203125" defaultRowHeight="15" x14ac:dyDescent="0.2"/>
  <cols>
    <col min="1" max="1" width="52.6640625" style="2" customWidth="1"/>
    <col min="2" max="4" width="12" style="3" customWidth="1"/>
    <col min="5" max="5" width="37.5" style="3" customWidth="1"/>
    <col min="6" max="6" width="23" style="2" hidden="1" customWidth="1"/>
    <col min="7" max="7" width="20" style="2" hidden="1" customWidth="1"/>
    <col min="8" max="8" width="10.33203125" style="2" hidden="1" customWidth="1"/>
    <col min="9" max="9" width="24.5" style="2" hidden="1" customWidth="1"/>
    <col min="10" max="10" width="8.83203125" style="156" hidden="1" customWidth="1"/>
    <col min="11" max="16384" width="24.83203125" style="2"/>
  </cols>
  <sheetData>
    <row r="1" spans="1:13" s="6" customFormat="1" ht="32" x14ac:dyDescent="0.2">
      <c r="A1" s="1" t="s">
        <v>232</v>
      </c>
      <c r="B1" s="162" t="s">
        <v>311</v>
      </c>
      <c r="C1" s="162" t="s">
        <v>312</v>
      </c>
      <c r="D1" s="162" t="s">
        <v>313</v>
      </c>
      <c r="E1" s="1" t="s">
        <v>2</v>
      </c>
      <c r="F1" s="1" t="s">
        <v>3</v>
      </c>
      <c r="G1" s="6" t="s">
        <v>16</v>
      </c>
      <c r="H1" s="6" t="s">
        <v>37</v>
      </c>
      <c r="I1" s="1" t="s">
        <v>0</v>
      </c>
      <c r="J1" s="1" t="s">
        <v>259</v>
      </c>
      <c r="L1" s="6" t="s">
        <v>90</v>
      </c>
      <c r="M1" s="6" t="s">
        <v>154</v>
      </c>
    </row>
    <row r="2" spans="1:13" s="6" customFormat="1" x14ac:dyDescent="0.2">
      <c r="A2" s="1"/>
      <c r="B2" s="162">
        <v>1</v>
      </c>
      <c r="C2" s="162">
        <v>2</v>
      </c>
      <c r="D2" s="162">
        <v>3</v>
      </c>
      <c r="E2" s="1"/>
      <c r="F2" s="1"/>
      <c r="I2" s="1"/>
      <c r="J2" s="1"/>
    </row>
    <row r="3" spans="1:13" s="6" customFormat="1" ht="214" customHeight="1" x14ac:dyDescent="0.2">
      <c r="A3" s="1"/>
      <c r="B3" s="162"/>
      <c r="C3" s="162"/>
      <c r="D3" s="162"/>
      <c r="E3" s="1"/>
      <c r="F3" s="1"/>
      <c r="I3" s="1"/>
      <c r="J3" s="1"/>
    </row>
    <row r="4" spans="1:13" x14ac:dyDescent="0.2">
      <c r="A4" s="247" t="s">
        <v>136</v>
      </c>
      <c r="B4" s="124">
        <v>3.3</v>
      </c>
      <c r="C4" s="194">
        <f>AVERAGE(138.4+45, 136.8+44.5, 399.1+129.7)/Conversions!$B$2*10^3*0.907185</f>
        <v>5.2458314727062172</v>
      </c>
      <c r="D4" s="194">
        <f>AVERAGE(20+6.5, 5.6+1.8)/Conversions!$B$2*10^3*0.907185</f>
        <v>0.29854564117192073</v>
      </c>
      <c r="E4" s="251" t="s">
        <v>184</v>
      </c>
      <c r="F4" s="164" t="s">
        <v>319</v>
      </c>
      <c r="I4" s="5" t="s">
        <v>129</v>
      </c>
      <c r="J4" s="156" t="s">
        <v>261</v>
      </c>
    </row>
    <row r="5" spans="1:13" x14ac:dyDescent="0.2">
      <c r="A5" s="247" t="s">
        <v>135</v>
      </c>
      <c r="B5" s="18">
        <v>2374</v>
      </c>
      <c r="C5" s="18">
        <v>2374</v>
      </c>
      <c r="D5" s="18">
        <v>2374</v>
      </c>
      <c r="E5" s="251" t="s">
        <v>260</v>
      </c>
      <c r="F5" s="5" t="s">
        <v>185</v>
      </c>
      <c r="I5" s="5" t="s">
        <v>129</v>
      </c>
      <c r="J5" s="4" t="s">
        <v>262</v>
      </c>
    </row>
    <row r="6" spans="1:13" s="6" customFormat="1" x14ac:dyDescent="0.2">
      <c r="A6" s="248" t="s">
        <v>165</v>
      </c>
      <c r="B6" s="3" t="s">
        <v>90</v>
      </c>
      <c r="C6" s="3" t="s">
        <v>90</v>
      </c>
      <c r="D6" s="3" t="s">
        <v>90</v>
      </c>
      <c r="E6" s="269"/>
      <c r="F6" s="1"/>
      <c r="H6" s="2" t="s">
        <v>87</v>
      </c>
      <c r="I6" s="2" t="s">
        <v>165</v>
      </c>
      <c r="J6" s="156"/>
    </row>
    <row r="7" spans="1:13" x14ac:dyDescent="0.2">
      <c r="A7" s="250" t="s">
        <v>146</v>
      </c>
      <c r="B7" s="124">
        <v>13.7</v>
      </c>
      <c r="C7" s="124">
        <v>13.7</v>
      </c>
      <c r="D7" s="124">
        <v>13.7</v>
      </c>
      <c r="E7" s="253" t="s">
        <v>320</v>
      </c>
      <c r="F7" s="164" t="s">
        <v>325</v>
      </c>
      <c r="I7" s="5" t="s">
        <v>189</v>
      </c>
      <c r="J7" s="4" t="s">
        <v>263</v>
      </c>
    </row>
    <row r="8" spans="1:13" x14ac:dyDescent="0.2">
      <c r="A8" s="250" t="s">
        <v>198</v>
      </c>
      <c r="B8" s="18">
        <f>2253/2</f>
        <v>1126.5</v>
      </c>
      <c r="C8" s="18">
        <v>50</v>
      </c>
      <c r="D8" s="18">
        <f>1400*1.60934</f>
        <v>2253.076</v>
      </c>
      <c r="E8" s="253" t="s">
        <v>321</v>
      </c>
      <c r="F8" s="164" t="s">
        <v>273</v>
      </c>
      <c r="I8" s="5" t="s">
        <v>189</v>
      </c>
      <c r="J8" s="4" t="s">
        <v>263</v>
      </c>
    </row>
    <row r="9" spans="1:13" x14ac:dyDescent="0.2">
      <c r="A9" s="248" t="s">
        <v>89</v>
      </c>
      <c r="B9" s="3" t="s">
        <v>154</v>
      </c>
      <c r="C9" s="3" t="s">
        <v>154</v>
      </c>
      <c r="D9" s="3" t="s">
        <v>154</v>
      </c>
      <c r="E9" s="270"/>
      <c r="H9" s="2" t="s">
        <v>87</v>
      </c>
      <c r="I9" s="2" t="s">
        <v>89</v>
      </c>
    </row>
    <row r="10" spans="1:13" x14ac:dyDescent="0.2">
      <c r="A10" s="250" t="s">
        <v>147</v>
      </c>
      <c r="B10" s="18">
        <v>1858</v>
      </c>
      <c r="C10" s="18">
        <v>1858</v>
      </c>
      <c r="D10" s="18">
        <v>1858</v>
      </c>
      <c r="E10" s="254" t="s">
        <v>148</v>
      </c>
      <c r="F10" s="5" t="s">
        <v>145</v>
      </c>
      <c r="I10" s="5" t="s">
        <v>189</v>
      </c>
      <c r="J10" s="4" t="s">
        <v>264</v>
      </c>
    </row>
    <row r="11" spans="1:13" x14ac:dyDescent="0.2">
      <c r="A11" s="250" t="s">
        <v>149</v>
      </c>
      <c r="B11" s="124">
        <v>7.9</v>
      </c>
      <c r="C11" s="124">
        <v>7.9</v>
      </c>
      <c r="D11" s="124">
        <v>7.9</v>
      </c>
      <c r="E11" s="253" t="s">
        <v>326</v>
      </c>
      <c r="F11" s="5" t="s">
        <v>153</v>
      </c>
      <c r="I11" s="5" t="s">
        <v>189</v>
      </c>
      <c r="J11" s="4" t="s">
        <v>264</v>
      </c>
    </row>
    <row r="12" spans="1:13" x14ac:dyDescent="0.2">
      <c r="A12" s="250" t="s">
        <v>150</v>
      </c>
      <c r="B12" s="37">
        <v>7900</v>
      </c>
      <c r="C12" s="37">
        <v>7900</v>
      </c>
      <c r="D12" s="37">
        <v>7900</v>
      </c>
      <c r="E12" s="252" t="s">
        <v>321</v>
      </c>
      <c r="F12" s="165" t="s">
        <v>327</v>
      </c>
      <c r="I12" s="5" t="s">
        <v>189</v>
      </c>
      <c r="J12" s="4" t="s">
        <v>264</v>
      </c>
    </row>
    <row r="13" spans="1:13" s="6" customFormat="1" ht="16" x14ac:dyDescent="0.2">
      <c r="A13" s="260" t="s">
        <v>174</v>
      </c>
      <c r="B13" s="7">
        <v>10600</v>
      </c>
      <c r="C13" s="7">
        <v>10600</v>
      </c>
      <c r="D13" s="7">
        <v>10600</v>
      </c>
      <c r="E13" s="273" t="s">
        <v>45</v>
      </c>
      <c r="F13" s="163" t="s">
        <v>347</v>
      </c>
      <c r="H13" s="8" t="s">
        <v>43</v>
      </c>
      <c r="I13" s="9"/>
      <c r="J13" s="1" t="s">
        <v>265</v>
      </c>
    </row>
    <row r="14" spans="1:13" x14ac:dyDescent="0.2">
      <c r="A14" s="271" t="s">
        <v>131</v>
      </c>
      <c r="B14" s="116">
        <f>19.236/0.907185</f>
        <v>21.204054299839616</v>
      </c>
      <c r="C14" s="116">
        <v>24</v>
      </c>
      <c r="D14" s="116">
        <f>17.5/0.907185</f>
        <v>19.290442412517844</v>
      </c>
      <c r="E14" s="263" t="s">
        <v>132</v>
      </c>
      <c r="F14" s="164" t="s">
        <v>377</v>
      </c>
      <c r="G14" s="22">
        <f>15000*2204.62/10^6</f>
        <v>33.069299999999998</v>
      </c>
      <c r="H14" s="2" t="s">
        <v>34</v>
      </c>
      <c r="I14" s="9"/>
      <c r="J14" s="192" t="s">
        <v>265</v>
      </c>
      <c r="K14" s="22"/>
    </row>
    <row r="15" spans="1:13" ht="16" x14ac:dyDescent="0.2">
      <c r="A15" s="272" t="s">
        <v>317</v>
      </c>
      <c r="B15" s="3" t="s">
        <v>154</v>
      </c>
      <c r="C15" s="3" t="s">
        <v>154</v>
      </c>
      <c r="D15" s="3" t="s">
        <v>154</v>
      </c>
      <c r="E15" s="274"/>
      <c r="H15" s="2" t="s">
        <v>87</v>
      </c>
      <c r="I15" s="9" t="s">
        <v>43</v>
      </c>
      <c r="J15" s="1"/>
    </row>
    <row r="16" spans="1:13" s="6" customFormat="1" ht="16" x14ac:dyDescent="0.2">
      <c r="A16" s="260" t="s">
        <v>226</v>
      </c>
      <c r="B16" s="7">
        <v>10</v>
      </c>
      <c r="C16" s="7">
        <v>10</v>
      </c>
      <c r="D16" s="7">
        <v>10</v>
      </c>
      <c r="E16" s="263" t="s">
        <v>5</v>
      </c>
      <c r="F16" s="1"/>
      <c r="G16" s="129"/>
      <c r="H16" s="8" t="s">
        <v>43</v>
      </c>
      <c r="I16" s="9" t="s">
        <v>225</v>
      </c>
      <c r="J16" s="1"/>
    </row>
    <row r="17" spans="1:10" s="6" customFormat="1" ht="16" x14ac:dyDescent="0.2">
      <c r="A17" s="260" t="s">
        <v>227</v>
      </c>
      <c r="B17" s="7">
        <v>90</v>
      </c>
      <c r="C17" s="7">
        <v>90</v>
      </c>
      <c r="D17" s="7">
        <v>90</v>
      </c>
      <c r="E17" s="263" t="s">
        <v>5</v>
      </c>
      <c r="F17" s="1"/>
      <c r="G17" s="129"/>
      <c r="H17" s="8" t="s">
        <v>43</v>
      </c>
      <c r="I17" s="9" t="s">
        <v>225</v>
      </c>
      <c r="J17" s="1"/>
    </row>
    <row r="18" spans="1:10" x14ac:dyDescent="0.2">
      <c r="J18" s="4"/>
    </row>
    <row r="19" spans="1:10" x14ac:dyDescent="0.2">
      <c r="A19" s="165" t="s">
        <v>314</v>
      </c>
      <c r="J19" s="4"/>
    </row>
    <row r="20" spans="1:10" x14ac:dyDescent="0.2">
      <c r="A20" s="165" t="s">
        <v>316</v>
      </c>
      <c r="J20" s="4"/>
    </row>
    <row r="21" spans="1:10" ht="17" x14ac:dyDescent="0.2">
      <c r="A21" s="182" t="s">
        <v>55</v>
      </c>
      <c r="B21" s="37">
        <f>Summary!C50</f>
        <v>59.388642482844652</v>
      </c>
      <c r="C21" s="37">
        <f>Summary!C57</f>
        <v>83.408720416028842</v>
      </c>
      <c r="D21" s="37">
        <f>Summary!C65</f>
        <v>5.9057752142209745</v>
      </c>
      <c r="J21" s="4"/>
    </row>
    <row r="22" spans="1:10" ht="17" x14ac:dyDescent="0.2">
      <c r="A22" s="182" t="s">
        <v>56</v>
      </c>
      <c r="B22" s="37">
        <f>Summary!D50</f>
        <v>8.90182261047255</v>
      </c>
      <c r="C22" s="37">
        <f>Summary!D57</f>
        <v>1.3510583333333335</v>
      </c>
      <c r="D22" s="37">
        <f>Summary!D65</f>
        <v>18.265838034453324</v>
      </c>
      <c r="J22" s="4"/>
    </row>
    <row r="23" spans="1:10" ht="17" x14ac:dyDescent="0.2">
      <c r="A23" s="182" t="s">
        <v>57</v>
      </c>
      <c r="B23" s="37">
        <f>Summary!E50</f>
        <v>1013.6426666666665</v>
      </c>
      <c r="C23" s="37">
        <f>Summary!E57</f>
        <v>1013.6426666666665</v>
      </c>
      <c r="D23" s="37">
        <f>Summary!E65</f>
        <v>1013.6426666666665</v>
      </c>
      <c r="J23" s="4"/>
    </row>
    <row r="24" spans="1:10" ht="17" x14ac:dyDescent="0.2">
      <c r="A24" s="183" t="s">
        <v>62</v>
      </c>
      <c r="B24" s="37">
        <f>SUM(B21:B23)</f>
        <v>1081.9331317599838</v>
      </c>
      <c r="C24" s="37">
        <f t="shared" ref="C24:D24" si="0">SUM(C21:C23)</f>
        <v>1098.4024454160287</v>
      </c>
      <c r="D24" s="37">
        <f t="shared" si="0"/>
        <v>1037.8142799153409</v>
      </c>
      <c r="J24" s="4"/>
    </row>
    <row r="25" spans="1:10" x14ac:dyDescent="0.2">
      <c r="B25" s="37"/>
      <c r="C25" s="37"/>
      <c r="D25" s="37"/>
      <c r="J25" s="4"/>
    </row>
    <row r="26" spans="1:10" x14ac:dyDescent="0.2">
      <c r="A26" s="165" t="s">
        <v>315</v>
      </c>
      <c r="J26" s="4"/>
    </row>
    <row r="27" spans="1:10" ht="17" x14ac:dyDescent="0.2">
      <c r="A27" s="182" t="s">
        <v>55</v>
      </c>
      <c r="B27" s="37">
        <f>Summary!I50</f>
        <v>143.52255266687459</v>
      </c>
      <c r="C27" s="37">
        <f>Summary!I57</f>
        <v>201.57107433873637</v>
      </c>
      <c r="D27" s="37">
        <f>Summary!I65</f>
        <v>14.272290101034022</v>
      </c>
      <c r="J27" s="4"/>
    </row>
    <row r="28" spans="1:10" ht="17" x14ac:dyDescent="0.2">
      <c r="A28" s="182" t="s">
        <v>56</v>
      </c>
      <c r="B28" s="37">
        <f>Summary!J50</f>
        <v>8.90182261047255</v>
      </c>
      <c r="C28" s="37">
        <f>Summary!J57</f>
        <v>1.3510583333333335</v>
      </c>
      <c r="D28" s="37">
        <f>Summary!J65</f>
        <v>18.265838034453324</v>
      </c>
      <c r="J28" s="4"/>
    </row>
    <row r="29" spans="1:10" ht="17" x14ac:dyDescent="0.2">
      <c r="A29" s="182" t="s">
        <v>57</v>
      </c>
      <c r="B29" s="37">
        <f>Summary!K50</f>
        <v>1013.6426666666665</v>
      </c>
      <c r="C29" s="37">
        <f>Summary!K57</f>
        <v>1013.6426666666665</v>
      </c>
      <c r="D29" s="37">
        <f>Summary!K65</f>
        <v>1013.6426666666665</v>
      </c>
      <c r="J29" s="4"/>
    </row>
    <row r="30" spans="1:10" ht="17" x14ac:dyDescent="0.2">
      <c r="A30" s="183" t="s">
        <v>62</v>
      </c>
      <c r="B30" s="37">
        <f>SUM(B27:B29)</f>
        <v>1166.0670419440137</v>
      </c>
      <c r="C30" s="37">
        <f t="shared" ref="C30" si="1">SUM(C27:C29)</f>
        <v>1216.5647993387363</v>
      </c>
      <c r="D30" s="37">
        <f t="shared" ref="D30" si="2">SUM(D27:D29)</f>
        <v>1046.180794802154</v>
      </c>
      <c r="J30" s="4"/>
    </row>
    <row r="31" spans="1:10" x14ac:dyDescent="0.2">
      <c r="B31" s="37"/>
      <c r="C31" s="37"/>
      <c r="D31" s="37"/>
      <c r="J31" s="4"/>
    </row>
    <row r="32" spans="1:10" x14ac:dyDescent="0.2">
      <c r="A32" s="165"/>
      <c r="B32" s="37"/>
      <c r="C32" s="37"/>
      <c r="D32" s="37"/>
      <c r="J32" s="4"/>
    </row>
    <row r="33" spans="1:10" x14ac:dyDescent="0.2">
      <c r="A33" s="165"/>
      <c r="B33" s="37"/>
      <c r="C33" s="37"/>
      <c r="D33" s="37"/>
      <c r="J33" s="4"/>
    </row>
    <row r="34" spans="1:10" x14ac:dyDescent="0.2">
      <c r="B34" s="211"/>
      <c r="J34" s="4"/>
    </row>
    <row r="35" spans="1:10" x14ac:dyDescent="0.2">
      <c r="B35" s="211"/>
      <c r="J35" s="4"/>
    </row>
    <row r="36" spans="1:10" x14ac:dyDescent="0.2">
      <c r="B36" s="162"/>
      <c r="C36" s="162"/>
      <c r="D36" s="162"/>
      <c r="J36" s="4"/>
    </row>
    <row r="37" spans="1:10" x14ac:dyDescent="0.2">
      <c r="A37" s="165"/>
      <c r="B37" s="37"/>
      <c r="C37" s="37"/>
      <c r="D37" s="37"/>
      <c r="J37" s="4"/>
    </row>
    <row r="38" spans="1:10" x14ac:dyDescent="0.2">
      <c r="A38" s="165"/>
      <c r="B38" s="37"/>
      <c r="C38" s="37"/>
      <c r="D38" s="37"/>
      <c r="J38" s="4"/>
    </row>
    <row r="39" spans="1:10" x14ac:dyDescent="0.2">
      <c r="A39" s="165"/>
      <c r="B39" s="37"/>
      <c r="C39" s="37"/>
      <c r="D39" s="37"/>
      <c r="J39" s="4"/>
    </row>
    <row r="40" spans="1:10" x14ac:dyDescent="0.2">
      <c r="J40" s="4"/>
    </row>
    <row r="41" spans="1:10" x14ac:dyDescent="0.2">
      <c r="J41" s="4"/>
    </row>
    <row r="42" spans="1:10" x14ac:dyDescent="0.2">
      <c r="J42" s="4"/>
    </row>
    <row r="43" spans="1:10" x14ac:dyDescent="0.2">
      <c r="J43" s="4"/>
    </row>
    <row r="44" spans="1:10" x14ac:dyDescent="0.2">
      <c r="J44" s="4"/>
    </row>
    <row r="45" spans="1:10" x14ac:dyDescent="0.2">
      <c r="J45" s="4"/>
    </row>
    <row r="46" spans="1:10" x14ac:dyDescent="0.2">
      <c r="J46" s="4"/>
    </row>
    <row r="47" spans="1:10" x14ac:dyDescent="0.2">
      <c r="J47" s="4"/>
    </row>
    <row r="48" spans="1:10" x14ac:dyDescent="0.2">
      <c r="J48" s="4"/>
    </row>
    <row r="49" spans="10:10" x14ac:dyDescent="0.2">
      <c r="J49" s="4"/>
    </row>
  </sheetData>
  <dataValidations count="1">
    <dataValidation type="list" allowBlank="1" showInputMessage="1" showErrorMessage="1" sqref="B15:D17 B9:D9 B6:D6" xr:uid="{39AB7FE8-EA8D-8A42-8B23-BDF3D86FD68D}">
      <formula1>$L$1:$M$1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985F1-108E-E741-85ED-09E19C896108}">
  <sheetPr codeName="Sheet9"/>
  <dimension ref="A1:K69"/>
  <sheetViews>
    <sheetView zoomScale="101" workbookViewId="0">
      <selection activeCell="C4" sqref="C4"/>
    </sheetView>
  </sheetViews>
  <sheetFormatPr baseColWidth="10" defaultColWidth="11.1640625" defaultRowHeight="16" x14ac:dyDescent="0.2"/>
  <cols>
    <col min="2" max="2" width="42.33203125" bestFit="1" customWidth="1"/>
    <col min="3" max="3" width="27.5" customWidth="1"/>
    <col min="4" max="5" width="19.6640625" customWidth="1"/>
    <col min="6" max="11" width="12.83203125" customWidth="1"/>
  </cols>
  <sheetData>
    <row r="1" spans="1:11" s="39" customFormat="1" ht="15" x14ac:dyDescent="0.2">
      <c r="A1" s="39" t="s">
        <v>127</v>
      </c>
    </row>
    <row r="2" spans="1:11" s="149" customFormat="1" ht="15" x14ac:dyDescent="0.2">
      <c r="F2" s="144" t="s">
        <v>228</v>
      </c>
      <c r="G2" s="150"/>
      <c r="H2" s="150"/>
      <c r="I2" s="144" t="s">
        <v>225</v>
      </c>
      <c r="J2" s="150"/>
      <c r="K2" s="150"/>
    </row>
    <row r="3" spans="1:11" s="2" customFormat="1" ht="15" x14ac:dyDescent="0.2">
      <c r="B3" s="43" t="s">
        <v>42</v>
      </c>
      <c r="C3" s="42" t="s">
        <v>48</v>
      </c>
      <c r="D3" s="42" t="s">
        <v>52</v>
      </c>
      <c r="E3" s="42" t="s">
        <v>53</v>
      </c>
      <c r="F3" s="144" t="s">
        <v>48</v>
      </c>
      <c r="G3" s="144" t="s">
        <v>52</v>
      </c>
      <c r="H3" s="144" t="s">
        <v>53</v>
      </c>
      <c r="I3" s="144" t="s">
        <v>48</v>
      </c>
      <c r="J3" s="144" t="s">
        <v>52</v>
      </c>
      <c r="K3" s="144" t="s">
        <v>53</v>
      </c>
    </row>
    <row r="4" spans="1:11" s="2" customFormat="1" ht="15" x14ac:dyDescent="0.2">
      <c r="B4" s="43" t="s">
        <v>49</v>
      </c>
      <c r="C4" s="63">
        <f>IF('Coal Parameters'!$B$15="No",F4,I4)</f>
        <v>155.63061447286336</v>
      </c>
      <c r="D4" s="63">
        <f>IF('Coal Parameters'!$B$15="No",G4,J4)</f>
        <v>5602.7021210230805</v>
      </c>
      <c r="E4" s="63">
        <f>IF('Coal Parameters'!$B$15="No",H4,K4)</f>
        <v>13539.863459139113</v>
      </c>
      <c r="F4" s="148">
        <f>D14</f>
        <v>155.63061447286336</v>
      </c>
      <c r="G4" s="148">
        <f>F4*Conversions!$B$7</f>
        <v>5602.7021210230805</v>
      </c>
      <c r="H4" s="148">
        <f>F4*Conversions!$B$6</f>
        <v>13539.863459139113</v>
      </c>
      <c r="I4" s="148">
        <f>F4*(1+'Coal Parameters'!$B$16/100)</f>
        <v>171.1936759201497</v>
      </c>
      <c r="J4" s="148">
        <f>G4*(1+'Coal Parameters'!$B$16/100)</f>
        <v>6162.972333125389</v>
      </c>
      <c r="K4" s="148">
        <f>H4*(1+'Coal Parameters'!$B$16/100)</f>
        <v>14893.849805053025</v>
      </c>
    </row>
    <row r="5" spans="1:11" s="2" customFormat="1" ht="15" x14ac:dyDescent="0.2">
      <c r="B5" s="43" t="s">
        <v>50</v>
      </c>
      <c r="C5" s="63">
        <f>IF('Coal Parameters'!$B$15="No",F5,I5)</f>
        <v>0.14753782252027445</v>
      </c>
      <c r="D5" s="63">
        <f>IF('Coal Parameters'!$B$15="No",G5,J5)</f>
        <v>5.3113616107298798</v>
      </c>
      <c r="E5" s="63">
        <f>IF('Coal Parameters'!$B$15="No",H5,K5)</f>
        <v>12.835790559263877</v>
      </c>
      <c r="F5" s="148">
        <f>F4*Conversions!$B$8</f>
        <v>0.14753782252027445</v>
      </c>
      <c r="G5" s="148">
        <f>F5*Conversions!$B$7</f>
        <v>5.3113616107298798</v>
      </c>
      <c r="H5" s="148">
        <f>F5*Conversions!$B$6</f>
        <v>12.835790559263877</v>
      </c>
      <c r="I5" s="148">
        <f>F5*(1+'Coal Parameters'!$B$16/100)</f>
        <v>0.1622916047723019</v>
      </c>
      <c r="J5" s="148">
        <f>G5*(1+'Coal Parameters'!$B$16/100)</f>
        <v>5.8424977718028686</v>
      </c>
      <c r="K5" s="148">
        <f>H5*(1+'Coal Parameters'!$B$16/100)</f>
        <v>14.119369615190266</v>
      </c>
    </row>
    <row r="6" spans="1:11" s="2" customFormat="1" ht="15" x14ac:dyDescent="0.2">
      <c r="B6" s="43" t="s">
        <v>51</v>
      </c>
      <c r="C6" s="63">
        <f>IF('Coal Parameters'!$B$15="No",F6,I6)</f>
        <v>1.6496845134123514</v>
      </c>
      <c r="D6" s="63">
        <f>IF('Coal Parameters'!$B$15="No",G6,J6)</f>
        <v>59.388642482844652</v>
      </c>
      <c r="E6" s="63">
        <f>IF('Coal Parameters'!$B$15="No",H6,K6)</f>
        <v>143.52255266687459</v>
      </c>
      <c r="F6" s="148">
        <f>F4/10^6*C8</f>
        <v>1.6496845134123514</v>
      </c>
      <c r="G6" s="148">
        <f>F6*Conversions!$B$7</f>
        <v>59.388642482844652</v>
      </c>
      <c r="H6" s="148">
        <f>F6*Conversions!$B$6</f>
        <v>143.52255266687459</v>
      </c>
      <c r="I6" s="148">
        <f>F6*(1+'Coal Parameters'!$B$16/100)</f>
        <v>1.8146529647535867</v>
      </c>
      <c r="J6" s="148">
        <f>G6*(1+'Coal Parameters'!$B$16/100)</f>
        <v>65.32750673112912</v>
      </c>
      <c r="K6" s="148">
        <f>H6*(1+'Coal Parameters'!$B$16/100)</f>
        <v>157.87480793356207</v>
      </c>
    </row>
    <row r="7" spans="1:11" s="2" customFormat="1" ht="15" x14ac:dyDescent="0.2">
      <c r="C7" s="69"/>
    </row>
    <row r="8" spans="1:11" s="2" customFormat="1" ht="15" x14ac:dyDescent="0.2">
      <c r="B8" s="2" t="s">
        <v>44</v>
      </c>
      <c r="C8" s="57">
        <f>'Coal Parameters'!B$13</f>
        <v>10600</v>
      </c>
      <c r="D8" s="26" t="s">
        <v>45</v>
      </c>
    </row>
    <row r="9" spans="1:11" s="2" customFormat="1" ht="15" x14ac:dyDescent="0.2">
      <c r="B9" s="5" t="s">
        <v>131</v>
      </c>
      <c r="C9" s="17">
        <f>'Coal Parameters'!B$14</f>
        <v>21.204054299839616</v>
      </c>
      <c r="D9" s="26" t="s">
        <v>132</v>
      </c>
    </row>
    <row r="10" spans="1:11" s="2" customFormat="1" x14ac:dyDescent="0.2">
      <c r="B10" s="5" t="s">
        <v>100</v>
      </c>
      <c r="C10" s="103">
        <f>Conversions!B$2</f>
        <v>51505.644797356501</v>
      </c>
      <c r="D10" s="111" t="s">
        <v>101</v>
      </c>
    </row>
    <row r="11" spans="1:11" s="2" customFormat="1" x14ac:dyDescent="0.2">
      <c r="B11" s="5" t="s">
        <v>111</v>
      </c>
      <c r="C11" s="103">
        <f>Conversions!B$3</f>
        <v>35.31</v>
      </c>
      <c r="D11" s="111" t="s">
        <v>112</v>
      </c>
    </row>
    <row r="12" spans="1:11" s="2" customFormat="1" ht="15" x14ac:dyDescent="0.2">
      <c r="B12" s="5"/>
      <c r="C12" s="115"/>
      <c r="D12" s="111"/>
    </row>
    <row r="13" spans="1:11" s="2" customFormat="1" ht="15" x14ac:dyDescent="0.2">
      <c r="C13" s="46" t="s">
        <v>183</v>
      </c>
      <c r="D13" s="3" t="s">
        <v>133</v>
      </c>
      <c r="E13" s="3"/>
    </row>
    <row r="14" spans="1:11" s="2" customFormat="1" ht="15" x14ac:dyDescent="0.2">
      <c r="B14" s="165" t="s">
        <v>130</v>
      </c>
      <c r="C14" s="126">
        <f>'Coal Parameters'!B4</f>
        <v>3.3</v>
      </c>
      <c r="D14" s="125">
        <f>C14*10^3/C9</f>
        <v>155.63061447286336</v>
      </c>
      <c r="E14" s="3"/>
    </row>
    <row r="15" spans="1:11" s="2" customFormat="1" ht="15" x14ac:dyDescent="0.2">
      <c r="C15" s="69"/>
    </row>
    <row r="16" spans="1:11" s="39" customFormat="1" ht="15" x14ac:dyDescent="0.2">
      <c r="A16" s="39" t="s">
        <v>128</v>
      </c>
    </row>
    <row r="17" spans="1:5" s="2" customFormat="1" ht="15" x14ac:dyDescent="0.2">
      <c r="B17" s="43" t="s">
        <v>42</v>
      </c>
      <c r="C17" s="42" t="s">
        <v>71</v>
      </c>
      <c r="D17" s="145" t="s">
        <v>228</v>
      </c>
      <c r="E17" s="145" t="s">
        <v>225</v>
      </c>
    </row>
    <row r="18" spans="1:5" s="2" customFormat="1" ht="15" x14ac:dyDescent="0.2">
      <c r="B18" s="43" t="s">
        <v>49</v>
      </c>
      <c r="C18" s="63">
        <f>IF('Coal Parameters'!$B$15="No",D18,E18)</f>
        <v>111.95972083593261</v>
      </c>
      <c r="D18" s="148">
        <f>D26</f>
        <v>111.95972083593261</v>
      </c>
      <c r="E18" s="148">
        <f>D18*(1+'Coal Parameters'!$B$16/100)</f>
        <v>123.15569291952589</v>
      </c>
    </row>
    <row r="19" spans="1:5" s="2" customFormat="1" ht="15" x14ac:dyDescent="0.2">
      <c r="B19" s="43" t="s">
        <v>50</v>
      </c>
      <c r="C19" s="63">
        <f>IF('Coal Parameters'!$B$15="No",D19,E19)</f>
        <v>0.10613781535246411</v>
      </c>
      <c r="D19" s="148">
        <f>D18*Conversions!$B$8</f>
        <v>0.10613781535246411</v>
      </c>
      <c r="E19" s="148">
        <f>D19*(1+'Coal Parameters'!$B$16/100)</f>
        <v>0.11675159688771053</v>
      </c>
    </row>
    <row r="20" spans="1:5" s="2" customFormat="1" ht="15" x14ac:dyDescent="0.2">
      <c r="B20" s="43" t="s">
        <v>51</v>
      </c>
      <c r="C20" s="63">
        <f>IF('Coal Parameters'!$B$15="No",D20,E20)</f>
        <v>1.1867730408608856</v>
      </c>
      <c r="D20" s="148">
        <f>D18/10^6*C$22</f>
        <v>1.1867730408608856</v>
      </c>
      <c r="E20" s="148">
        <f>D20*(1+'Coal Parameters'!$B$16/100)</f>
        <v>1.3054503449469743</v>
      </c>
    </row>
    <row r="21" spans="1:5" s="2" customFormat="1" ht="15" x14ac:dyDescent="0.2">
      <c r="C21" s="69"/>
    </row>
    <row r="22" spans="1:5" s="2" customFormat="1" ht="15" x14ac:dyDescent="0.2">
      <c r="B22" s="2" t="s">
        <v>44</v>
      </c>
      <c r="C22" s="57">
        <f>'Coal Parameters'!B$13</f>
        <v>10600</v>
      </c>
      <c r="D22" s="26" t="s">
        <v>45</v>
      </c>
    </row>
    <row r="23" spans="1:5" s="2" customFormat="1" ht="15" x14ac:dyDescent="0.2">
      <c r="B23" s="5" t="s">
        <v>131</v>
      </c>
      <c r="C23" s="17">
        <f>'Coal Parameters'!B$14</f>
        <v>21.204054299839616</v>
      </c>
      <c r="D23" s="26" t="s">
        <v>132</v>
      </c>
    </row>
    <row r="24" spans="1:5" s="80" customFormat="1" ht="15" x14ac:dyDescent="0.2">
      <c r="B24" s="19"/>
      <c r="C24" s="98"/>
      <c r="D24" s="107"/>
    </row>
    <row r="25" spans="1:5" s="2" customFormat="1" ht="15" x14ac:dyDescent="0.2">
      <c r="C25" s="69" t="s">
        <v>134</v>
      </c>
      <c r="D25" s="3" t="s">
        <v>133</v>
      </c>
      <c r="E25" s="3"/>
    </row>
    <row r="26" spans="1:5" s="2" customFormat="1" ht="15" x14ac:dyDescent="0.2">
      <c r="B26" s="2" t="s">
        <v>152</v>
      </c>
      <c r="C26" s="95">
        <f>'Coal Parameters'!B5</f>
        <v>2374</v>
      </c>
      <c r="D26" s="59">
        <f>C26/C$23</f>
        <v>111.95972083593261</v>
      </c>
      <c r="E26" s="59"/>
    </row>
    <row r="27" spans="1:5" s="2" customFormat="1" ht="15" x14ac:dyDescent="0.2">
      <c r="C27" s="69"/>
    </row>
    <row r="28" spans="1:5" s="2" customFormat="1" ht="15" x14ac:dyDescent="0.2">
      <c r="C28" s="69"/>
    </row>
    <row r="29" spans="1:5" s="39" customFormat="1" ht="15" x14ac:dyDescent="0.2">
      <c r="A29" s="39" t="s">
        <v>181</v>
      </c>
    </row>
    <row r="30" spans="1:5" s="2" customFormat="1" ht="15" x14ac:dyDescent="0.2">
      <c r="B30" s="43" t="s">
        <v>42</v>
      </c>
      <c r="C30" s="42" t="s">
        <v>71</v>
      </c>
      <c r="D30" s="144" t="s">
        <v>228</v>
      </c>
      <c r="E30" s="144" t="s">
        <v>225</v>
      </c>
    </row>
    <row r="31" spans="1:5" s="2" customFormat="1" ht="15" x14ac:dyDescent="0.2">
      <c r="B31" s="43" t="s">
        <v>49</v>
      </c>
      <c r="C31" s="63">
        <f>IF('Coal Parameters'!$B$15="No",D31,E31)</f>
        <v>727.83486505770418</v>
      </c>
      <c r="D31" s="148">
        <f>D40</f>
        <v>727.83486505770418</v>
      </c>
      <c r="E31" s="148">
        <f>D31*(1+'Coal Parameters'!$B$16/100)</f>
        <v>800.61835156347468</v>
      </c>
    </row>
    <row r="32" spans="1:5" s="2" customFormat="1" ht="15" x14ac:dyDescent="0.2">
      <c r="B32" s="43" t="s">
        <v>50</v>
      </c>
      <c r="C32" s="63">
        <f>IF('Coal Parameters'!$B$15="No",D32,E32)</f>
        <v>0.68998745207470358</v>
      </c>
      <c r="D32" s="148">
        <f>D31*Conversions!$B$8</f>
        <v>0.68998745207470358</v>
      </c>
      <c r="E32" s="148">
        <f>D32*(1+'Coal Parameters'!$B$16/100)</f>
        <v>0.75898619728217398</v>
      </c>
    </row>
    <row r="33" spans="1:5" s="2" customFormat="1" ht="15" x14ac:dyDescent="0.2">
      <c r="B33" s="43" t="s">
        <v>51</v>
      </c>
      <c r="C33" s="63">
        <f>IF('Coal Parameters'!$B$15="No",D33,E33)</f>
        <v>7.7150495696116641</v>
      </c>
      <c r="D33" s="148">
        <f>D31/10^6*C$22</f>
        <v>7.7150495696116641</v>
      </c>
      <c r="E33" s="148">
        <f>D33*(1+'Coal Parameters'!$B$16/100)</f>
        <v>8.4865545265728315</v>
      </c>
    </row>
    <row r="34" spans="1:5" s="2" customFormat="1" ht="15" x14ac:dyDescent="0.2">
      <c r="C34" s="69"/>
    </row>
    <row r="35" spans="1:5" s="2" customFormat="1" ht="15" x14ac:dyDescent="0.2">
      <c r="B35" s="2" t="s">
        <v>44</v>
      </c>
      <c r="C35" s="57">
        <f>'Coal Parameters'!B$13</f>
        <v>10600</v>
      </c>
      <c r="D35" s="26" t="s">
        <v>45</v>
      </c>
    </row>
    <row r="36" spans="1:5" s="2" customFormat="1" ht="15" x14ac:dyDescent="0.2">
      <c r="B36" s="5" t="s">
        <v>131</v>
      </c>
      <c r="C36" s="17">
        <f>'Coal Parameters'!B$14</f>
        <v>21.204054299839616</v>
      </c>
      <c r="D36" s="26" t="s">
        <v>132</v>
      </c>
    </row>
    <row r="37" spans="1:5" s="2" customFormat="1" ht="15" x14ac:dyDescent="0.2">
      <c r="B37" s="164" t="s">
        <v>323</v>
      </c>
      <c r="C37" s="190">
        <f>'Coal Parameters'!B7</f>
        <v>13.7</v>
      </c>
      <c r="D37" s="170" t="s">
        <v>322</v>
      </c>
    </row>
    <row r="38" spans="1:5" s="2" customFormat="1" ht="15" x14ac:dyDescent="0.2">
      <c r="B38" s="164" t="s">
        <v>324</v>
      </c>
      <c r="C38" s="17">
        <f>'Coal Parameters'!B8</f>
        <v>1126.5</v>
      </c>
      <c r="D38" s="170" t="s">
        <v>321</v>
      </c>
    </row>
    <row r="39" spans="1:5" s="2" customFormat="1" ht="15" x14ac:dyDescent="0.2">
      <c r="B39" s="5"/>
      <c r="C39" s="96"/>
      <c r="D39" s="3" t="s">
        <v>133</v>
      </c>
      <c r="E39" s="3"/>
    </row>
    <row r="40" spans="1:5" s="2" customFormat="1" ht="15" x14ac:dyDescent="0.2">
      <c r="B40" s="5" t="s">
        <v>144</v>
      </c>
      <c r="C40" s="96">
        <f>C37*C38</f>
        <v>15433.05</v>
      </c>
      <c r="D40" s="59">
        <f>C40/C$36</f>
        <v>727.83486505770418</v>
      </c>
      <c r="E40" s="59"/>
    </row>
    <row r="41" spans="1:5" s="2" customFormat="1" ht="15" x14ac:dyDescent="0.2">
      <c r="C41" s="69"/>
    </row>
    <row r="42" spans="1:5" s="39" customFormat="1" ht="15" x14ac:dyDescent="0.2">
      <c r="A42" s="39" t="s">
        <v>182</v>
      </c>
    </row>
    <row r="43" spans="1:5" s="2" customFormat="1" ht="15" x14ac:dyDescent="0.2">
      <c r="B43" s="43" t="s">
        <v>42</v>
      </c>
      <c r="C43" s="42" t="s">
        <v>71</v>
      </c>
      <c r="D43" s="144" t="s">
        <v>228</v>
      </c>
      <c r="E43" s="144" t="s">
        <v>225</v>
      </c>
    </row>
    <row r="44" spans="1:5" s="2" customFormat="1" ht="15" x14ac:dyDescent="0.2">
      <c r="B44" s="43" t="s">
        <v>49</v>
      </c>
      <c r="C44" s="63">
        <f>IF('Coal Parameters'!$B$15="No",D44,E44)</f>
        <v>3030.9297972551467</v>
      </c>
      <c r="D44" s="148">
        <f>D52+D57</f>
        <v>3030.9297972551467</v>
      </c>
      <c r="E44" s="148">
        <f>D44*(1+'Coal Parameters'!$B$16/100)</f>
        <v>3334.0227769806615</v>
      </c>
    </row>
    <row r="45" spans="1:5" s="2" customFormat="1" ht="15" x14ac:dyDescent="0.2">
      <c r="B45" s="43" t="s">
        <v>50</v>
      </c>
      <c r="C45" s="63">
        <f>IF('Coal Parameters'!$B$15="No",D45,E45)</f>
        <v>2.873321447797879</v>
      </c>
      <c r="D45" s="148">
        <f>C44*Conversions!$B$8</f>
        <v>2.873321447797879</v>
      </c>
      <c r="E45" s="148">
        <f>D45*(1+'Coal Parameters'!$B$16/100)</f>
        <v>3.1606535925776673</v>
      </c>
    </row>
    <row r="46" spans="1:5" s="2" customFormat="1" ht="15" x14ac:dyDescent="0.2">
      <c r="B46" s="43" t="s">
        <v>51</v>
      </c>
      <c r="C46" s="63">
        <f>IF('Coal Parameters'!$B$15="No",D46,E46)</f>
        <v>32.12785585090456</v>
      </c>
      <c r="D46" s="148">
        <f>C44/10^6*C$48</f>
        <v>32.12785585090456</v>
      </c>
      <c r="E46" s="148">
        <f>D46*(1+'Coal Parameters'!$B$16/100)</f>
        <v>35.340641435995018</v>
      </c>
    </row>
    <row r="47" spans="1:5" s="2" customFormat="1" ht="15" x14ac:dyDescent="0.2">
      <c r="C47" s="69"/>
    </row>
    <row r="48" spans="1:5" s="2" customFormat="1" ht="15" x14ac:dyDescent="0.2">
      <c r="B48" s="2" t="s">
        <v>44</v>
      </c>
      <c r="C48" s="57">
        <f>'Coal Parameters'!B$13</f>
        <v>10600</v>
      </c>
      <c r="D48" s="26" t="s">
        <v>45</v>
      </c>
    </row>
    <row r="49" spans="1:5" s="2" customFormat="1" ht="15" x14ac:dyDescent="0.2">
      <c r="B49" s="5" t="s">
        <v>131</v>
      </c>
      <c r="C49" s="17">
        <f>'Coal Parameters'!B$14</f>
        <v>21.204054299839616</v>
      </c>
      <c r="D49" s="26" t="s">
        <v>132</v>
      </c>
    </row>
    <row r="50" spans="1:5" s="80" customFormat="1" ht="15" x14ac:dyDescent="0.2">
      <c r="B50" s="19"/>
      <c r="C50" s="98"/>
      <c r="D50" s="107"/>
    </row>
    <row r="51" spans="1:5" s="2" customFormat="1" ht="15" x14ac:dyDescent="0.2">
      <c r="C51" s="69" t="s">
        <v>134</v>
      </c>
      <c r="D51" s="3" t="s">
        <v>133</v>
      </c>
      <c r="E51" s="3"/>
    </row>
    <row r="52" spans="1:5" s="2" customFormat="1" ht="15" x14ac:dyDescent="0.2">
      <c r="B52" s="2" t="s">
        <v>151</v>
      </c>
      <c r="C52" s="95">
        <f>'Coal Parameters'!B10</f>
        <v>1858</v>
      </c>
      <c r="D52" s="59">
        <f>C52/C$49</f>
        <v>87.624752027448523</v>
      </c>
      <c r="E52" s="59"/>
    </row>
    <row r="53" spans="1:5" s="2" customFormat="1" ht="15" x14ac:dyDescent="0.2">
      <c r="C53" s="69"/>
      <c r="D53" s="59"/>
      <c r="E53" s="59"/>
    </row>
    <row r="54" spans="1:5" s="2" customFormat="1" ht="15" x14ac:dyDescent="0.2">
      <c r="B54" s="164" t="s">
        <v>329</v>
      </c>
      <c r="C54" s="17">
        <f>'Coal Parameters'!B11</f>
        <v>7.9</v>
      </c>
      <c r="D54" s="59"/>
      <c r="E54" s="59"/>
    </row>
    <row r="55" spans="1:5" s="2" customFormat="1" ht="15" x14ac:dyDescent="0.2">
      <c r="B55" s="164" t="s">
        <v>328</v>
      </c>
      <c r="C55" s="17">
        <f>'Coal Parameters'!B12</f>
        <v>7900</v>
      </c>
      <c r="D55" s="59"/>
      <c r="E55" s="59"/>
    </row>
    <row r="56" spans="1:5" s="2" customFormat="1" ht="15" x14ac:dyDescent="0.2">
      <c r="B56" s="5"/>
      <c r="C56" s="96"/>
      <c r="D56" s="59"/>
      <c r="E56" s="59"/>
    </row>
    <row r="57" spans="1:5" s="2" customFormat="1" ht="15" x14ac:dyDescent="0.2">
      <c r="B57" s="5" t="s">
        <v>144</v>
      </c>
      <c r="C57" s="96">
        <f>C54*C55</f>
        <v>62410</v>
      </c>
      <c r="D57" s="59">
        <f>C57/C$49</f>
        <v>2943.305045227698</v>
      </c>
      <c r="E57" s="59"/>
    </row>
    <row r="58" spans="1:5" s="2" customFormat="1" ht="15" x14ac:dyDescent="0.2">
      <c r="C58" s="69"/>
    </row>
    <row r="59" spans="1:5" s="39" customFormat="1" ht="15" x14ac:dyDescent="0.2">
      <c r="A59" s="39" t="s">
        <v>77</v>
      </c>
    </row>
    <row r="60" spans="1:5" s="2" customFormat="1" ht="15" x14ac:dyDescent="0.2">
      <c r="B60" s="43" t="s">
        <v>42</v>
      </c>
      <c r="C60" s="42" t="s">
        <v>71</v>
      </c>
      <c r="D60" s="144" t="s">
        <v>228</v>
      </c>
      <c r="E60" s="144" t="s">
        <v>225</v>
      </c>
    </row>
    <row r="61" spans="1:5" s="2" customFormat="1" ht="15" x14ac:dyDescent="0.2">
      <c r="B61" s="43" t="s">
        <v>49</v>
      </c>
      <c r="C61" s="63">
        <f>IF('Coal Parameters'!$B$15="No",D61,E61)</f>
        <v>95626.666666666657</v>
      </c>
      <c r="D61" s="145">
        <f>C63/C65*10^6</f>
        <v>95626.666666666657</v>
      </c>
      <c r="E61" s="145">
        <f>D61*(1-'Coal Parameters'!$B$17/100)*(1+'Coal Parameters'!$B$16/100)</f>
        <v>10518.933333333331</v>
      </c>
    </row>
    <row r="62" spans="1:5" s="2" customFormat="1" ht="15" x14ac:dyDescent="0.2">
      <c r="B62" s="43" t="s">
        <v>50</v>
      </c>
      <c r="C62" s="63">
        <f>IF('Coal Parameters'!$B$15="No",D62,E62)</f>
        <v>90.654079999999979</v>
      </c>
      <c r="D62" s="145">
        <f>C61*Conversions!$B$8</f>
        <v>90.654079999999979</v>
      </c>
      <c r="E62" s="145">
        <f>D62*(1-'Coal Parameters'!$B$17/100)*(1+'Coal Parameters'!$B$16/100)</f>
        <v>9.9719487999999963</v>
      </c>
    </row>
    <row r="63" spans="1:5" s="2" customFormat="1" ht="15" x14ac:dyDescent="0.2">
      <c r="B63" s="43" t="s">
        <v>51</v>
      </c>
      <c r="C63" s="63">
        <f>IF('Coal Parameters'!$B$15="No",D63,E63)</f>
        <v>1013.6426666666665</v>
      </c>
      <c r="D63" s="145">
        <f>C65*C68/10^3</f>
        <v>1013.6426666666665</v>
      </c>
      <c r="E63" s="145">
        <f>D63*(1-'Coal Parameters'!$B$17/100)*(1+'Coal Parameters'!$B$16/100)</f>
        <v>111.50069333333329</v>
      </c>
    </row>
    <row r="64" spans="1:5" s="2" customFormat="1" ht="15" x14ac:dyDescent="0.2"/>
    <row r="65" spans="2:4" s="2" customFormat="1" ht="15" x14ac:dyDescent="0.2">
      <c r="B65" s="2" t="s">
        <v>44</v>
      </c>
      <c r="C65" s="57">
        <f>'Coal Parameters'!B$13</f>
        <v>10600</v>
      </c>
      <c r="D65" s="26" t="s">
        <v>45</v>
      </c>
    </row>
    <row r="66" spans="2:4" s="2" customFormat="1" ht="15" x14ac:dyDescent="0.2">
      <c r="B66" s="46" t="s">
        <v>68</v>
      </c>
      <c r="C66" s="89">
        <f>Conversions!B$10</f>
        <v>26.08</v>
      </c>
      <c r="D66" s="48" t="s">
        <v>67</v>
      </c>
    </row>
    <row r="67" spans="2:4" s="2" customFormat="1" x14ac:dyDescent="0.2">
      <c r="B67" s="9" t="s">
        <v>126</v>
      </c>
      <c r="C67" s="110">
        <f>Conversions!B5</f>
        <v>3.6666666666666665</v>
      </c>
      <c r="D67" s="26" t="s">
        <v>116</v>
      </c>
    </row>
    <row r="68" spans="2:4" s="2" customFormat="1" ht="15" x14ac:dyDescent="0.2">
      <c r="B68" s="46"/>
      <c r="C68" s="59">
        <f>C66*C67</f>
        <v>95.626666666666651</v>
      </c>
      <c r="D68" s="48" t="s">
        <v>65</v>
      </c>
    </row>
    <row r="69" spans="2:4" s="2" customFormat="1" ht="15" x14ac:dyDescent="0.2">
      <c r="B69" s="4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1392BE6DC5140B6E1B3C022B40F1E" ma:contentTypeVersion="15" ma:contentTypeDescription="Create a new document." ma:contentTypeScope="" ma:versionID="4b9a00b27a70c060db9fde3a3c31a6f8">
  <xsd:schema xmlns:xsd="http://www.w3.org/2001/XMLSchema" xmlns:xs="http://www.w3.org/2001/XMLSchema" xmlns:p="http://schemas.microsoft.com/office/2006/metadata/properties" xmlns:ns2="0f5b571a-eaeb-4b8f-b589-2366337cbc80" xmlns:ns3="4a385f88-92b2-4602-8c4b-4411cf8cb467" targetNamespace="http://schemas.microsoft.com/office/2006/metadata/properties" ma:root="true" ma:fieldsID="16712c278c8ef55a9aac21c25fc9874d" ns2:_="" ns3:_="">
    <xsd:import namespace="0f5b571a-eaeb-4b8f-b589-2366337cbc80"/>
    <xsd:import namespace="4a385f88-92b2-4602-8c4b-4411cf8cb4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Note" minOccurs="0"/>
                <xsd:element ref="ns2:Tag"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b571a-eaeb-4b8f-b589-2366337cbc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Note" ma:index="13" nillable="true" ma:displayName="Note" ma:internalName="Note">
      <xsd:simpleType>
        <xsd:restriction base="dms:Text">
          <xsd:maxLength value="255"/>
        </xsd:restriction>
      </xsd:simpleType>
    </xsd:element>
    <xsd:element name="Tag" ma:index="14" nillable="true" ma:displayName="Tag" ma:internalName="Tag">
      <xsd:simpleType>
        <xsd:restriction base="dms:Text">
          <xsd:maxLength value="255"/>
        </xsd:restriction>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385f88-92b2-4602-8c4b-4411cf8cb46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g xmlns="0f5b571a-eaeb-4b8f-b589-2366337cbc80" xsi:nil="true"/>
    <Note xmlns="0f5b571a-eaeb-4b8f-b589-2366337cbc80" xsi:nil="true"/>
    <SharedWithUsers xmlns="4a385f88-92b2-4602-8c4b-4411cf8cb467">
      <UserInfo>
        <DisplayName/>
        <AccountId xsi:nil="true"/>
        <AccountType/>
      </UserInfo>
    </SharedWithUsers>
    <MediaLengthInSeconds xmlns="0f5b571a-eaeb-4b8f-b589-2366337cbc8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313101-C283-4142-B049-E037CF826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b571a-eaeb-4b8f-b589-2366337cbc80"/>
    <ds:schemaRef ds:uri="4a385f88-92b2-4602-8c4b-4411cf8cb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8AA7C-3EB8-439E-AA73-0AB8AF8BA94E}">
  <ds:schemaRefs>
    <ds:schemaRef ds:uri="http://schemas.microsoft.com/office/2006/metadata/properties"/>
    <ds:schemaRef ds:uri="http://schemas.microsoft.com/office/2006/documentManagement/types"/>
    <ds:schemaRef ds:uri="http://purl.org/dc/terms/"/>
    <ds:schemaRef ds:uri="0f5b571a-eaeb-4b8f-b589-2366337cbc80"/>
    <ds:schemaRef ds:uri="http://purl.org/dc/dcmitype/"/>
    <ds:schemaRef ds:uri="4a385f88-92b2-4602-8c4b-4411cf8cb467"/>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1C9E9C4-F80E-493B-B63C-347FE56970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NG Parameters</vt:lpstr>
      <vt:lpstr>NG C1</vt:lpstr>
      <vt:lpstr>NG C2</vt:lpstr>
      <vt:lpstr>NG C3</vt:lpstr>
      <vt:lpstr>NG C4</vt:lpstr>
      <vt:lpstr>NG C5</vt:lpstr>
      <vt:lpstr>NG C6</vt:lpstr>
      <vt:lpstr>Coal Parameters</vt:lpstr>
      <vt:lpstr>Coal C1</vt:lpstr>
      <vt:lpstr>Coal C2</vt:lpstr>
      <vt:lpstr>Coal C3</vt:lpstr>
      <vt:lpstr>Summary</vt:lpstr>
      <vt:lpstr>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Lesley Fleischman</dc:creator>
  <cp:lastModifiedBy>Troy Shaheen</cp:lastModifiedBy>
  <dcterms:created xsi:type="dcterms:W3CDTF">2021-01-28T16:50:56Z</dcterms:created>
  <dcterms:modified xsi:type="dcterms:W3CDTF">2021-09-09T20:42:39Z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0x0101008E01392BE6DC5140B6E1B3C022B40F1E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xd_Signature">
    <vt:bool>false</vt:bool>
  </property>
</Properties>
</file>